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Maryna Ivashchenko\Desktop\"/>
    </mc:Choice>
  </mc:AlternateContent>
  <xr:revisionPtr revIDLastSave="0" documentId="13_ncr:1_{D6320689-1031-4933-BB59-8BA1A1EAEF6C}" xr6:coauthVersionLast="41" xr6:coauthVersionMax="41" xr10:uidLastSave="{00000000-0000-0000-0000-000000000000}"/>
  <bookViews>
    <workbookView xWindow="-120" yWindow="-120" windowWidth="20730" windowHeight="11160" tabRatio="582" firstSheet="3" activeTab="4" xr2:uid="{00000000-000D-0000-FFFF-FFFF00000000}"/>
  </bookViews>
  <sheets>
    <sheet name="ЗАВДАННЯ" sheetId="6" r:id="rId1"/>
    <sheet name="Трудомісткість" sheetId="1" r:id="rId2"/>
    <sheet name="Матеріали НПФ" sheetId="4" r:id="rId3"/>
    <sheet name="Т-ЗВ" sheetId="5" r:id="rId4"/>
    <sheet name="Енергія" sheetId="7" r:id="rId5"/>
    <sheet name="Осн.зарплата" sheetId="8" r:id="rId6"/>
    <sheet name="Дод.зарплата_Соц.страх" sheetId="9" r:id="rId7"/>
    <sheet name="ВУЕО_ЗВВ_ЗГВ" sheetId="10" r:id="rId8"/>
    <sheet name="Собівартість" sheetId="11" r:id="rId9"/>
    <sheet name="Калькуляція" sheetId="12" r:id="rId10"/>
    <sheet name="Ціна" sheetId="13" r:id="rId11"/>
    <sheet name="ТП" sheetId="14" r:id="rId12"/>
    <sheet name="Прибуток" sheetId="15" r:id="rId13"/>
  </sheets>
  <definedNames>
    <definedName name="ГТС">ЗАВДАННЯ!$C$22:$C$26</definedName>
    <definedName name="назван">ЗАВДАННЯ!$G$21:$G$24</definedName>
    <definedName name="розряд">ЗАВДАННЯ!$B$22:$B$26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4" l="1"/>
  <c r="F15" i="4" l="1"/>
  <c r="F5" i="4"/>
  <c r="F6" i="4"/>
  <c r="F7" i="4"/>
  <c r="F8" i="4"/>
  <c r="F9" i="4"/>
  <c r="F10" i="4"/>
  <c r="F11" i="4"/>
  <c r="F12" i="4"/>
  <c r="B5" i="8"/>
  <c r="E5" i="8" s="1"/>
  <c r="B6" i="8"/>
  <c r="E6" i="8" s="1"/>
  <c r="B7" i="8"/>
  <c r="E7" i="8" s="1"/>
  <c r="B8" i="8"/>
  <c r="E8" i="8" s="1"/>
  <c r="B9" i="8"/>
  <c r="E9" i="8" s="1"/>
  <c r="B10" i="8"/>
  <c r="E10" i="8" s="1"/>
  <c r="B11" i="8"/>
  <c r="E11" i="8" s="1"/>
  <c r="B13" i="8"/>
  <c r="E13" i="8" s="1"/>
  <c r="B14" i="8"/>
  <c r="E14" i="8" s="1"/>
  <c r="B15" i="8"/>
  <c r="E15" i="8" s="1"/>
  <c r="B12" i="8"/>
  <c r="E12" i="8" s="1"/>
  <c r="A5" i="8"/>
  <c r="A6" i="8"/>
  <c r="A7" i="8"/>
  <c r="A8" i="8"/>
  <c r="A9" i="8"/>
  <c r="A10" i="8"/>
  <c r="A11" i="8"/>
  <c r="A12" i="8"/>
  <c r="A13" i="8"/>
  <c r="A14" i="8"/>
  <c r="A15" i="8"/>
  <c r="B20" i="7" l="1"/>
  <c r="E10" i="7" s="1"/>
  <c r="C4" i="7" s="1"/>
  <c r="C16" i="6" l="1"/>
  <c r="C15" i="6"/>
  <c r="E19" i="14" s="1"/>
  <c r="E20" i="14"/>
  <c r="E18" i="14"/>
  <c r="B4" i="8"/>
  <c r="A4" i="8"/>
  <c r="B8" i="12"/>
  <c r="F17" i="4"/>
  <c r="F18" i="4"/>
  <c r="F19" i="4"/>
  <c r="F20" i="4"/>
  <c r="F21" i="4"/>
  <c r="F16" i="4"/>
  <c r="F4" i="4"/>
  <c r="C4" i="1"/>
  <c r="B16" i="1"/>
  <c r="C11" i="6"/>
  <c r="N7" i="11" s="1"/>
  <c r="F22" i="4" l="1"/>
  <c r="B5" i="5" s="1"/>
  <c r="B5" i="12" s="1"/>
  <c r="D5" i="1"/>
  <c r="D8" i="1"/>
  <c r="D11" i="1"/>
  <c r="D13" i="1"/>
  <c r="D15" i="1"/>
  <c r="D6" i="1"/>
  <c r="D7" i="1"/>
  <c r="D9" i="1"/>
  <c r="D10" i="1"/>
  <c r="D12" i="1"/>
  <c r="D14" i="1"/>
  <c r="D4" i="1"/>
  <c r="F13" i="4"/>
  <c r="C4" i="6"/>
  <c r="E6" i="5" s="1"/>
  <c r="C5" i="6"/>
  <c r="H17" i="8" s="1"/>
  <c r="C6" i="6"/>
  <c r="F2" i="9" s="1"/>
  <c r="C7" i="6"/>
  <c r="F6" i="9" s="1"/>
  <c r="C8" i="6"/>
  <c r="F2" i="10" s="1"/>
  <c r="C9" i="6"/>
  <c r="F6" i="10" s="1"/>
  <c r="C10" i="6"/>
  <c r="F10" i="10" s="1"/>
  <c r="C12" i="6"/>
  <c r="C5" i="13" s="1"/>
  <c r="C13" i="6"/>
  <c r="C3" i="6"/>
  <c r="E4" i="5" s="1"/>
  <c r="B4" i="5" l="1"/>
  <c r="F23" i="4"/>
  <c r="D16" i="1"/>
  <c r="E4" i="8"/>
  <c r="E16" i="8" s="1"/>
  <c r="E17" i="8" s="1"/>
  <c r="B6" i="5" l="1"/>
  <c r="B4" i="12"/>
  <c r="B8" i="5"/>
  <c r="B7" i="12" s="1"/>
  <c r="E18" i="8"/>
  <c r="E19" i="8" s="1"/>
  <c r="B7" i="5" l="1"/>
  <c r="B6" i="12" s="1"/>
  <c r="B9" i="12" s="1"/>
  <c r="B10" i="12"/>
  <c r="H2" i="9"/>
  <c r="B9" i="5" l="1"/>
  <c r="F4" i="9"/>
  <c r="B11" i="12" l="1"/>
  <c r="H6" i="9"/>
  <c r="F8" i="9" s="1"/>
  <c r="B12" i="12" s="1"/>
  <c r="F4" i="10"/>
  <c r="B13" i="12" s="1"/>
  <c r="F8" i="10"/>
  <c r="B14" i="12" s="1"/>
  <c r="F12" i="10"/>
  <c r="B16" i="12" s="1"/>
  <c r="B15" i="12" l="1"/>
  <c r="A6" i="11"/>
  <c r="N9" i="11" l="1"/>
  <c r="B17" i="12" s="1"/>
  <c r="B18" i="12" s="1"/>
  <c r="E6" i="13" l="1"/>
  <c r="E17" i="14"/>
  <c r="J15" i="14" s="1"/>
  <c r="D3" i="13"/>
  <c r="A11" i="11"/>
  <c r="K3" i="13" l="1"/>
  <c r="B9" i="15"/>
  <c r="D10" i="13" l="1"/>
  <c r="L10" i="13" s="1"/>
  <c r="E21" i="14" l="1"/>
  <c r="B7" i="14" s="1"/>
  <c r="B8" i="15" s="1"/>
  <c r="B5" i="15" s="1"/>
  <c r="C15" i="14" l="1"/>
</calcChain>
</file>

<file path=xl/sharedStrings.xml><?xml version="1.0" encoding="utf-8"?>
<sst xmlns="http://schemas.openxmlformats.org/spreadsheetml/2006/main" count="254" uniqueCount="178">
  <si>
    <t>Програма випуску, шт.</t>
  </si>
  <si>
    <t>Таблиця 1 – Трудомісткість виготовлення виробу</t>
  </si>
  <si>
    <t>Штучний час,  н-год</t>
  </si>
  <si>
    <t>Об'єм, н-год</t>
  </si>
  <si>
    <t>Найменування матеріалів</t>
  </si>
  <si>
    <t>Одиниця виміру</t>
  </si>
  <si>
    <t>Марка</t>
  </si>
  <si>
    <t>Норма витрат</t>
  </si>
  <si>
    <t>Ціна за одиницю, грн.</t>
  </si>
  <si>
    <t>Сума, грн.</t>
  </si>
  <si>
    <t>Основні матеріали</t>
  </si>
  <si>
    <t>Припій</t>
  </si>
  <si>
    <t>г</t>
  </si>
  <si>
    <t>ПОС-61</t>
  </si>
  <si>
    <t>Флюс</t>
  </si>
  <si>
    <t>мл</t>
  </si>
  <si>
    <t>ФКС</t>
  </si>
  <si>
    <t>Покупні компоненти виробу</t>
  </si>
  <si>
    <t>РАЗОМ</t>
  </si>
  <si>
    <t>Таблиця 3 – Розрахунок транспортно-заготівельних витрат</t>
  </si>
  <si>
    <t>Таблиця 2 - Розрахунок витрат на матеріали, покупні вироби та напівфабрикати</t>
  </si>
  <si>
    <t>005 Заготівельна</t>
  </si>
  <si>
    <t>№ та назва операції</t>
  </si>
  <si>
    <t>кг</t>
  </si>
  <si>
    <t>Спирт</t>
  </si>
  <si>
    <t>РАЗОМ витрат на основні матеріали</t>
  </si>
  <si>
    <t>РАЗОМ витрат на покупні компоненти виробу</t>
  </si>
  <si>
    <t>ВСЬОГО:</t>
  </si>
  <si>
    <t>Назва витрат</t>
  </si>
  <si>
    <t>Основні та допоміжні матеріали</t>
  </si>
  <si>
    <t>Покупні, комплектуючі вироби</t>
  </si>
  <si>
    <t>Разом:</t>
  </si>
  <si>
    <t>Всього:</t>
  </si>
  <si>
    <t>Відходи:</t>
  </si>
  <si>
    <t>Т-ЗВ:</t>
  </si>
  <si>
    <t>(Основні матеріали+покупні)*%ТЗВ</t>
  </si>
  <si>
    <t>(Основні матеріали*% відходів)</t>
  </si>
  <si>
    <t>Завдання</t>
  </si>
  <si>
    <t>Транспортно-заготівельні витрати, %</t>
  </si>
  <si>
    <t>Зворотні відходи, %</t>
  </si>
  <si>
    <t>Доплата до прямої заробітної плати. %</t>
  </si>
  <si>
    <t>Додаткова заробітна плата, %</t>
  </si>
  <si>
    <t>Витрати на соціальне страхування, %</t>
  </si>
  <si>
    <t>Витрати по утриманню та експлуатації обладнання (ВУЕО), %</t>
  </si>
  <si>
    <t>Загальновиробничі витрати (ЗВВ), %</t>
  </si>
  <si>
    <t>Загальногосподарські витрати (ЗГВ), %</t>
  </si>
  <si>
    <t>Витрати на збут, %</t>
  </si>
  <si>
    <t>Норма рентабельності. %</t>
  </si>
  <si>
    <t>Податок на додану вартість (ПДВ). %</t>
  </si>
  <si>
    <t>Річний випуск, шт.</t>
  </si>
  <si>
    <t>Обсяг товарної продукції, грн.</t>
  </si>
  <si>
    <t>Витрати на 1 грн. товарної продукції, грн.</t>
  </si>
  <si>
    <t>Транспортно-заготівельні витрати</t>
  </si>
  <si>
    <r>
      <t>Зворотні відходи (</t>
    </r>
    <r>
      <rPr>
        <b/>
        <sz val="12"/>
        <color rgb="FFFF0000"/>
        <rFont val="Calibri Light"/>
        <family val="2"/>
        <charset val="204"/>
        <scheme val="major"/>
      </rPr>
      <t>вираховуються</t>
    </r>
    <r>
      <rPr>
        <sz val="12"/>
        <rFont val="Calibri Light"/>
        <family val="2"/>
        <charset val="204"/>
        <scheme val="major"/>
      </rPr>
      <t>)</t>
    </r>
  </si>
  <si>
    <t>Розрахунок витрат на енергію технологічну</t>
  </si>
  <si>
    <t>Витрати електроенергії</t>
  </si>
  <si>
    <t>виготовлення</t>
  </si>
  <si>
    <t>складання</t>
  </si>
  <si>
    <t>намотування</t>
  </si>
  <si>
    <t>20,5 - 22,5 кВт</t>
  </si>
  <si>
    <t>0,40 - 0,50 кВт</t>
  </si>
  <si>
    <t>25,0- 26,5 кВт</t>
  </si>
  <si>
    <t>Приймаємо витрати на рівні:</t>
  </si>
  <si>
    <t>кВт</t>
  </si>
  <si>
    <t>Таблиця 4 - Розрахунок основної заробітної плати</t>
  </si>
  <si>
    <t>Розряд</t>
  </si>
  <si>
    <t>Годинна тарифна ставка</t>
  </si>
  <si>
    <t>Годинна тарифна ставка:</t>
  </si>
  <si>
    <t>Тарифна ЗП</t>
  </si>
  <si>
    <t>Основна ЗП</t>
  </si>
  <si>
    <t>Доплати до тарифної ЗП</t>
  </si>
  <si>
    <t>відсоток витрат на додаткову заробітну плату</t>
  </si>
  <si>
    <t>Додаткова заробітна плата</t>
  </si>
  <si>
    <t>відсоток витрат на соц.страх</t>
  </si>
  <si>
    <t>Соц.страх</t>
  </si>
  <si>
    <t>відсоток витрат на ВУЕО</t>
  </si>
  <si>
    <t>ВУЕО</t>
  </si>
  <si>
    <t>відсоток витрат на ЗВВ</t>
  </si>
  <si>
    <t>ЗВВ</t>
  </si>
  <si>
    <t>відсоток витрат на ЗГВ</t>
  </si>
  <si>
    <t>ЗГВ</t>
  </si>
  <si>
    <t>Виробнича:</t>
  </si>
  <si>
    <t>Повна:</t>
  </si>
  <si>
    <t>відсоток витрат на збут</t>
  </si>
  <si>
    <t>витрати на збут</t>
  </si>
  <si>
    <t>Таблиця 5 – Калькуляція виробу</t>
  </si>
  <si>
    <t>Назва статті</t>
  </si>
  <si>
    <t xml:space="preserve">Сировина та матеріали </t>
  </si>
  <si>
    <t>Купівельні напівфабрикати, комплектуючі вироби</t>
  </si>
  <si>
    <t>Енергія технологічна</t>
  </si>
  <si>
    <r>
      <t>Зворотні відходи (</t>
    </r>
    <r>
      <rPr>
        <sz val="11"/>
        <color rgb="FFFF0000"/>
        <rFont val="Calibri"/>
        <family val="2"/>
        <charset val="204"/>
        <scheme val="minor"/>
      </rPr>
      <t>вираховуються</t>
    </r>
    <r>
      <rPr>
        <sz val="11"/>
        <color theme="1"/>
        <rFont val="Calibri"/>
        <family val="2"/>
        <charset val="204"/>
        <scheme val="minor"/>
      </rPr>
      <t>)</t>
    </r>
  </si>
  <si>
    <t>Разом матеріальні витрати</t>
  </si>
  <si>
    <t>Основна заробітна плата</t>
  </si>
  <si>
    <t>Відрахування на соціальні заходи</t>
  </si>
  <si>
    <t>Витрати на утримання та експлуатацію машин і обладнання</t>
  </si>
  <si>
    <t>Загальновиробничі витрати</t>
  </si>
  <si>
    <t>Виробнича собівартість</t>
  </si>
  <si>
    <t>Загальногосподарські (адміністративні) витрати</t>
  </si>
  <si>
    <t>Позавиробничі витрати (витрати на збут)</t>
  </si>
  <si>
    <t>Повна собівартість</t>
  </si>
  <si>
    <t>Визначення гуртової ціни виробу</t>
  </si>
  <si>
    <t xml:space="preserve">рентабельність </t>
  </si>
  <si>
    <t>1) розрахунок прибутку:</t>
  </si>
  <si>
    <t>2) ціна випуску виробу без ПДВ:</t>
  </si>
  <si>
    <t>3) грошове вираження ПДВ:</t>
  </si>
  <si>
    <t>4) Вільна відпускна ціна з урахуванням ПДВ:</t>
  </si>
  <si>
    <t>Розрахунок обсягу товарної продукції</t>
  </si>
  <si>
    <t>ТП=</t>
  </si>
  <si>
    <t>Розрахунок витрат  на 1  грн. товарної продукції</t>
  </si>
  <si>
    <t>Собівартість товарної продукції:</t>
  </si>
  <si>
    <t>В(1 грн. ТП) =</t>
  </si>
  <si>
    <t>СВтп=</t>
  </si>
  <si>
    <t>Прибуток виробника продукції</t>
  </si>
  <si>
    <t>Прибуток=</t>
  </si>
  <si>
    <t>Виготовлення друкованої плати</t>
  </si>
  <si>
    <t>Склотекстоліт</t>
  </si>
  <si>
    <r>
      <t>мм</t>
    </r>
    <r>
      <rPr>
        <vertAlign val="superscript"/>
        <sz val="10"/>
        <color theme="1"/>
        <rFont val="Calibri"/>
        <family val="2"/>
        <charset val="204"/>
        <scheme val="minor"/>
      </rPr>
      <t>2</t>
    </r>
  </si>
  <si>
    <t>Каніфоль</t>
  </si>
  <si>
    <t>ВК-220</t>
  </si>
  <si>
    <t>JB-92FT</t>
  </si>
  <si>
    <t>Лак</t>
  </si>
  <si>
    <t>Plastic</t>
  </si>
  <si>
    <t>Хлорне залізо</t>
  </si>
  <si>
    <t>ТУ600</t>
  </si>
  <si>
    <t>Sn60Pb40</t>
  </si>
  <si>
    <t>Мідна фольга товщиною 0,05-0,06 мм</t>
  </si>
  <si>
    <t>БФ-2</t>
  </si>
  <si>
    <t>Складання</t>
  </si>
  <si>
    <t>техн.</t>
  </si>
  <si>
    <t>Намотування</t>
  </si>
  <si>
    <t>Склотканина</t>
  </si>
  <si>
    <r>
      <t>м</t>
    </r>
    <r>
      <rPr>
        <vertAlign val="superscript"/>
        <sz val="10"/>
        <color theme="1"/>
        <rFont val="Calibri"/>
        <family val="2"/>
        <charset val="204"/>
        <scheme val="minor"/>
      </rPr>
      <t>2</t>
    </r>
  </si>
  <si>
    <t>Э-28</t>
  </si>
  <si>
    <t>Папір кондесаторний</t>
  </si>
  <si>
    <t>КОН-1</t>
  </si>
  <si>
    <t>Папір кабельний</t>
  </si>
  <si>
    <t>К-120</t>
  </si>
  <si>
    <t>ФЛ-582</t>
  </si>
  <si>
    <t>Клей</t>
  </si>
  <si>
    <t>Дріт</t>
  </si>
  <si>
    <t xml:space="preserve">Тарифи на електроенергію  на території України у січні 2017 року становитимуть: </t>
  </si>
  <si>
    <t>Інші вироби:</t>
  </si>
  <si>
    <t>доплати</t>
  </si>
  <si>
    <t>Програма випуску</t>
  </si>
  <si>
    <t>Обсяг товарної продукції</t>
  </si>
  <si>
    <t>Витрати на 1 грн. товарної продукції</t>
  </si>
  <si>
    <t>ціна реалізації (у т.ч. ПДВ)</t>
  </si>
  <si>
    <t>ТП</t>
  </si>
  <si>
    <t>СВтп</t>
  </si>
  <si>
    <t>Конвертер:</t>
  </si>
  <si>
    <t>кВт·год</t>
  </si>
  <si>
    <t>грн. /МВт·год</t>
  </si>
  <si>
    <t>МВт·год</t>
  </si>
  <si>
    <t>грн./МВт*год</t>
  </si>
  <si>
    <t>Тариф на розподіл з 01 січня 2019 року:</t>
  </si>
  <si>
    <t>010 Контрольна</t>
  </si>
  <si>
    <t>015 Отримання заготівок</t>
  </si>
  <si>
    <t xml:space="preserve">Текстолит </t>
  </si>
  <si>
    <t>лист</t>
  </si>
  <si>
    <t>плата</t>
  </si>
  <si>
    <t>частка</t>
  </si>
  <si>
    <t>ПТ ГОСТ 5-78 ПТ - 3 мм</t>
  </si>
  <si>
    <t>Plastic-70</t>
  </si>
  <si>
    <t>шт</t>
  </si>
  <si>
    <t>020 Свердлування</t>
  </si>
  <si>
    <t>025 Контрольна</t>
  </si>
  <si>
    <t>030 Підготовка поверхні</t>
  </si>
  <si>
    <t>035 Нанесення рисунку</t>
  </si>
  <si>
    <t>040 Проявлення рисунку</t>
  </si>
  <si>
    <t>045 Хімічне травлення</t>
  </si>
  <si>
    <t>050 Контрольна</t>
  </si>
  <si>
    <t>055 Обробка контура друкованої плати</t>
  </si>
  <si>
    <t>060 Контрольна</t>
  </si>
  <si>
    <t xml:space="preserve">Конденсатор </t>
  </si>
  <si>
    <t>Резистор</t>
  </si>
  <si>
    <t>Діод</t>
  </si>
  <si>
    <t>Транзистор</t>
  </si>
  <si>
    <t>УВАГА!!!                              Вартість 1 МВт·год  у січні 2020 р. приймаємо на рівні 147,876 грн. (з ПДВ)!!!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</si>
</sst>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000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name val="Calibri Light"/>
      <family val="2"/>
      <charset val="204"/>
      <scheme val="major"/>
    </font>
    <font>
      <b/>
      <i/>
      <sz val="12"/>
      <name val="Calibri Light"/>
      <family val="2"/>
      <charset val="204"/>
      <scheme val="major"/>
    </font>
    <font>
      <b/>
      <sz val="12"/>
      <color rgb="FFFF0000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vertAlign val="superscript"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2" fontId="0" fillId="0" borderId="1" xfId="0" applyNumberFormat="1" applyBorder="1" applyAlignment="1">
      <alignment horizontal="center" vertical="center"/>
    </xf>
    <xf numFmtId="0" fontId="2" fillId="0" borderId="0" xfId="0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right" vertical="center"/>
    </xf>
    <xf numFmtId="1" fontId="4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vertical="top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0" fontId="0" fillId="0" borderId="0" xfId="0" applyAlignment="1"/>
    <xf numFmtId="0" fontId="0" fillId="4" borderId="0" xfId="0" applyFill="1"/>
    <xf numFmtId="0" fontId="5" fillId="0" borderId="1" xfId="0" applyFont="1" applyBorder="1"/>
    <xf numFmtId="0" fontId="5" fillId="6" borderId="1" xfId="0" applyFont="1" applyFill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  <xf numFmtId="164" fontId="5" fillId="6" borderId="1" xfId="0" applyNumberFormat="1" applyFont="1" applyFill="1" applyBorder="1" applyAlignment="1">
      <alignment horizontal="center" vertical="center"/>
    </xf>
    <xf numFmtId="0" fontId="5" fillId="3" borderId="0" xfId="0" applyFont="1" applyFill="1" applyAlignment="1"/>
    <xf numFmtId="0" fontId="0" fillId="8" borderId="0" xfId="0" applyFill="1"/>
    <xf numFmtId="0" fontId="15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0" fillId="8" borderId="1" xfId="0" applyFont="1" applyFill="1" applyBorder="1" applyAlignment="1">
      <alignment horizontal="center" vertical="center"/>
    </xf>
    <xf numFmtId="0" fontId="0" fillId="0" borderId="3" xfId="0" applyBorder="1"/>
    <xf numFmtId="0" fontId="0" fillId="8" borderId="1" xfId="0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10" borderId="0" xfId="0" applyFont="1" applyFill="1" applyBorder="1" applyAlignment="1">
      <alignment horizontal="center" vertical="center" wrapText="1"/>
    </xf>
    <xf numFmtId="2" fontId="0" fillId="4" borderId="7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0" fillId="4" borderId="0" xfId="0" applyNumberFormat="1" applyFill="1"/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wrapText="1"/>
    </xf>
    <xf numFmtId="2" fontId="2" fillId="2" borderId="1" xfId="0" applyNumberFormat="1" applyFont="1" applyFill="1" applyBorder="1" applyAlignment="1">
      <alignment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0" fillId="11" borderId="1" xfId="0" applyFill="1" applyBorder="1"/>
    <xf numFmtId="0" fontId="8" fillId="7" borderId="1" xfId="0" applyFont="1" applyFill="1" applyBorder="1" applyAlignment="1">
      <alignment horizontal="left" vertical="top"/>
    </xf>
    <xf numFmtId="0" fontId="8" fillId="7" borderId="1" xfId="0" applyFont="1" applyFill="1" applyBorder="1"/>
    <xf numFmtId="0" fontId="0" fillId="0" borderId="0" xfId="0" applyBorder="1"/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/>
    <xf numFmtId="0" fontId="1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Border="1"/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3" fillId="11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0" fillId="11" borderId="1" xfId="0" applyFont="1" applyFill="1" applyBorder="1"/>
    <xf numFmtId="0" fontId="0" fillId="11" borderId="1" xfId="0" applyFill="1" applyBorder="1" applyAlignment="1">
      <alignment horizontal="center" vertical="center"/>
    </xf>
    <xf numFmtId="0" fontId="1" fillId="11" borderId="1" xfId="0" applyFont="1" applyFill="1" applyBorder="1" applyAlignment="1">
      <alignment vertical="center"/>
    </xf>
    <xf numFmtId="0" fontId="0" fillId="11" borderId="1" xfId="0" applyFont="1" applyFill="1" applyBorder="1" applyAlignment="1">
      <alignment horizontal="center" vertical="center"/>
    </xf>
    <xf numFmtId="0" fontId="3" fillId="11" borderId="1" xfId="0" applyFont="1" applyFill="1" applyBorder="1"/>
    <xf numFmtId="0" fontId="0" fillId="4" borderId="1" xfId="0" applyFill="1" applyBorder="1" applyAlignment="1">
      <alignment horizontal="center" vertical="center"/>
    </xf>
    <xf numFmtId="0" fontId="0" fillId="3" borderId="0" xfId="0" applyFill="1" applyBorder="1"/>
    <xf numFmtId="2" fontId="0" fillId="0" borderId="1" xfId="0" applyNumberFormat="1" applyBorder="1"/>
    <xf numFmtId="2" fontId="10" fillId="4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/>
    <xf numFmtId="0" fontId="0" fillId="9" borderId="2" xfId="0" applyFill="1" applyBorder="1" applyAlignment="1">
      <alignment horizontal="right"/>
    </xf>
    <xf numFmtId="0" fontId="0" fillId="12" borderId="1" xfId="0" applyFont="1" applyFill="1" applyBorder="1"/>
    <xf numFmtId="0" fontId="0" fillId="12" borderId="1" xfId="0" applyFill="1" applyBorder="1"/>
    <xf numFmtId="2" fontId="0" fillId="4" borderId="1" xfId="0" applyNumberFormat="1" applyFill="1" applyBorder="1"/>
    <xf numFmtId="165" fontId="0" fillId="0" borderId="0" xfId="0" applyNumberFormat="1"/>
    <xf numFmtId="165" fontId="0" fillId="0" borderId="1" xfId="0" applyNumberFormat="1" applyBorder="1" applyAlignment="1">
      <alignment wrapText="1"/>
    </xf>
    <xf numFmtId="2" fontId="0" fillId="12" borderId="0" xfId="0" applyNumberFormat="1" applyFill="1"/>
    <xf numFmtId="2" fontId="0" fillId="2" borderId="1" xfId="0" applyNumberFormat="1" applyFill="1" applyBorder="1"/>
    <xf numFmtId="2" fontId="0" fillId="13" borderId="0" xfId="0" applyNumberFormat="1" applyFill="1"/>
    <xf numFmtId="2" fontId="6" fillId="2" borderId="1" xfId="0" applyNumberFormat="1" applyFont="1" applyFill="1" applyBorder="1"/>
    <xf numFmtId="2" fontId="0" fillId="7" borderId="1" xfId="0" applyNumberFormat="1" applyFill="1" applyBorder="1"/>
    <xf numFmtId="2" fontId="17" fillId="7" borderId="1" xfId="0" applyNumberFormat="1" applyFont="1" applyFill="1" applyBorder="1"/>
    <xf numFmtId="2" fontId="18" fillId="2" borderId="1" xfId="0" applyNumberFormat="1" applyFont="1" applyFill="1" applyBorder="1"/>
    <xf numFmtId="0" fontId="0" fillId="14" borderId="1" xfId="0" applyFill="1" applyBorder="1"/>
    <xf numFmtId="2" fontId="0" fillId="14" borderId="1" xfId="0" applyNumberFormat="1" applyFill="1" applyBorder="1"/>
    <xf numFmtId="164" fontId="0" fillId="4" borderId="1" xfId="0" applyNumberFormat="1" applyFill="1" applyBorder="1" applyAlignment="1">
      <alignment horizontal="center" vertical="center"/>
    </xf>
    <xf numFmtId="0" fontId="0" fillId="0" borderId="0" xfId="0" applyFill="1" applyBorder="1"/>
    <xf numFmtId="0" fontId="0" fillId="2" borderId="1" xfId="0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0" fillId="9" borderId="1" xfId="0" applyFill="1" applyBorder="1"/>
    <xf numFmtId="0" fontId="2" fillId="3" borderId="0" xfId="0" applyFont="1" applyFill="1" applyBorder="1"/>
    <xf numFmtId="2" fontId="0" fillId="12" borderId="1" xfId="0" applyNumberFormat="1" applyFill="1" applyBorder="1"/>
    <xf numFmtId="0" fontId="4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19" fillId="4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/>
    <xf numFmtId="0" fontId="0" fillId="3" borderId="1" xfId="0" applyFill="1" applyBorder="1"/>
    <xf numFmtId="0" fontId="3" fillId="3" borderId="1" xfId="0" applyFont="1" applyFill="1" applyBorder="1"/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 shrinkToFit="1"/>
    </xf>
    <xf numFmtId="0" fontId="15" fillId="0" borderId="0" xfId="0" applyFont="1" applyBorder="1" applyAlignment="1">
      <alignment horizontal="center"/>
    </xf>
    <xf numFmtId="0" fontId="15" fillId="11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2" borderId="1" xfId="0" applyFont="1" applyFill="1" applyBorder="1" applyAlignment="1">
      <alignment horizontal="center"/>
    </xf>
    <xf numFmtId="0" fontId="6" fillId="0" borderId="0" xfId="0" applyFont="1" applyAlignment="1">
      <alignment horizontal="left" vertical="top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14" borderId="5" xfId="0" applyFill="1" applyBorder="1" applyAlignment="1"/>
    <xf numFmtId="0" fontId="0" fillId="14" borderId="6" xfId="0" applyFill="1" applyBorder="1" applyAlignment="1"/>
    <xf numFmtId="0" fontId="0" fillId="14" borderId="7" xfId="0" applyFill="1" applyBorder="1" applyAlignment="1"/>
    <xf numFmtId="0" fontId="0" fillId="14" borderId="5" xfId="0" applyFill="1" applyBorder="1"/>
    <xf numFmtId="0" fontId="0" fillId="14" borderId="6" xfId="0" applyFill="1" applyBorder="1"/>
    <xf numFmtId="0" fontId="0" fillId="14" borderId="7" xfId="0" applyFill="1" applyBorder="1"/>
    <xf numFmtId="2" fontId="0" fillId="2" borderId="1" xfId="0" applyNumberFormat="1" applyFill="1" applyBorder="1"/>
    <xf numFmtId="2" fontId="0" fillId="2" borderId="5" xfId="0" applyNumberFormat="1" applyFill="1" applyBorder="1"/>
    <xf numFmtId="2" fontId="0" fillId="2" borderId="7" xfId="0" applyNumberFormat="1" applyFill="1" applyBorder="1"/>
    <xf numFmtId="2" fontId="0" fillId="14" borderId="5" xfId="0" applyNumberFormat="1" applyFill="1" applyBorder="1"/>
    <xf numFmtId="2" fontId="0" fillId="14" borderId="7" xfId="0" applyNumberFormat="1" applyFill="1" applyBorder="1"/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166" fontId="2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166" fontId="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justify" vertical="center" wrapText="1"/>
    </xf>
    <xf numFmtId="0" fontId="1" fillId="3" borderId="0" xfId="0" applyFont="1" applyFill="1" applyBorder="1" applyAlignment="1">
      <alignment horizontal="center"/>
    </xf>
    <xf numFmtId="165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4" Type="http://schemas.openxmlformats.org/officeDocument/2006/relationships/image" Target="../media/image1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2</xdr:row>
      <xdr:rowOff>161925</xdr:rowOff>
    </xdr:from>
    <xdr:to>
      <xdr:col>8</xdr:col>
      <xdr:colOff>66675</xdr:colOff>
      <xdr:row>6</xdr:row>
      <xdr:rowOff>9525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552450"/>
          <a:ext cx="1209675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10</xdr:row>
      <xdr:rowOff>104775</xdr:rowOff>
    </xdr:from>
    <xdr:to>
      <xdr:col>2</xdr:col>
      <xdr:colOff>476250</xdr:colOff>
      <xdr:row>12</xdr:row>
      <xdr:rowOff>152400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009775"/>
          <a:ext cx="140970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47625</xdr:colOff>
      <xdr:row>10</xdr:row>
      <xdr:rowOff>28575</xdr:rowOff>
    </xdr:from>
    <xdr:to>
      <xdr:col>7</xdr:col>
      <xdr:colOff>352425</xdr:colOff>
      <xdr:row>12</xdr:row>
      <xdr:rowOff>123825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1933575"/>
          <a:ext cx="213360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1</xdr:row>
      <xdr:rowOff>66675</xdr:rowOff>
    </xdr:from>
    <xdr:to>
      <xdr:col>10</xdr:col>
      <xdr:colOff>9525</xdr:colOff>
      <xdr:row>3</xdr:row>
      <xdr:rowOff>114300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257175"/>
          <a:ext cx="16954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123825</xdr:colOff>
      <xdr:row>4</xdr:row>
      <xdr:rowOff>66675</xdr:rowOff>
    </xdr:from>
    <xdr:to>
      <xdr:col>9</xdr:col>
      <xdr:colOff>390525</xdr:colOff>
      <xdr:row>6</xdr:row>
      <xdr:rowOff>114300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828675"/>
          <a:ext cx="148590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95250</xdr:colOff>
      <xdr:row>8</xdr:row>
      <xdr:rowOff>57150</xdr:rowOff>
    </xdr:from>
    <xdr:to>
      <xdr:col>9</xdr:col>
      <xdr:colOff>342900</xdr:colOff>
      <xdr:row>10</xdr:row>
      <xdr:rowOff>104775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581150"/>
          <a:ext cx="14668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6</xdr:col>
      <xdr:colOff>600075</xdr:colOff>
      <xdr:row>4</xdr:row>
      <xdr:rowOff>66675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42576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3</xdr:col>
      <xdr:colOff>95250</xdr:colOff>
      <xdr:row>9</xdr:row>
      <xdr:rowOff>76200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0"/>
          <a:ext cx="192405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47625</xdr:colOff>
      <xdr:row>1</xdr:row>
      <xdr:rowOff>66675</xdr:rowOff>
    </xdr:from>
    <xdr:to>
      <xdr:col>11</xdr:col>
      <xdr:colOff>333375</xdr:colOff>
      <xdr:row>3</xdr:row>
      <xdr:rowOff>123825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57175"/>
          <a:ext cx="15049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</xdr:row>
      <xdr:rowOff>28575</xdr:rowOff>
    </xdr:from>
    <xdr:to>
      <xdr:col>1</xdr:col>
      <xdr:colOff>447675</xdr:colOff>
      <xdr:row>6</xdr:row>
      <xdr:rowOff>180975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81075"/>
          <a:ext cx="8382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4</xdr:row>
      <xdr:rowOff>0</xdr:rowOff>
    </xdr:from>
    <xdr:to>
      <xdr:col>7</xdr:col>
      <xdr:colOff>400050</xdr:colOff>
      <xdr:row>5</xdr:row>
      <xdr:rowOff>19050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762000"/>
          <a:ext cx="10096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</xdr:colOff>
      <xdr:row>11</xdr:row>
      <xdr:rowOff>123825</xdr:rowOff>
    </xdr:from>
    <xdr:to>
      <xdr:col>2</xdr:col>
      <xdr:colOff>38100</xdr:colOff>
      <xdr:row>13</xdr:row>
      <xdr:rowOff>85725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219325"/>
          <a:ext cx="11906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123825</xdr:colOff>
      <xdr:row>11</xdr:row>
      <xdr:rowOff>28575</xdr:rowOff>
    </xdr:from>
    <xdr:to>
      <xdr:col>9</xdr:col>
      <xdr:colOff>38100</xdr:colOff>
      <xdr:row>12</xdr:row>
      <xdr:rowOff>47625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2124075"/>
          <a:ext cx="17430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28575</xdr:rowOff>
    </xdr:from>
    <xdr:to>
      <xdr:col>3</xdr:col>
      <xdr:colOff>514350</xdr:colOff>
      <xdr:row>4</xdr:row>
      <xdr:rowOff>66675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219075"/>
          <a:ext cx="16192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10</xdr:row>
      <xdr:rowOff>66675</xdr:rowOff>
    </xdr:from>
    <xdr:to>
      <xdr:col>3</xdr:col>
      <xdr:colOff>219075</xdr:colOff>
      <xdr:row>12</xdr:row>
      <xdr:rowOff>114300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971675"/>
          <a:ext cx="14192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38100</xdr:colOff>
      <xdr:row>10</xdr:row>
      <xdr:rowOff>19050</xdr:rowOff>
    </xdr:from>
    <xdr:to>
      <xdr:col>10</xdr:col>
      <xdr:colOff>352425</xdr:colOff>
      <xdr:row>13</xdr:row>
      <xdr:rowOff>57150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1924050"/>
          <a:ext cx="1533525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</xdr:row>
      <xdr:rowOff>180975</xdr:rowOff>
    </xdr:from>
    <xdr:to>
      <xdr:col>2</xdr:col>
      <xdr:colOff>257175</xdr:colOff>
      <xdr:row>3</xdr:row>
      <xdr:rowOff>38100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71475"/>
          <a:ext cx="116205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workbookViewId="0">
      <selection activeCell="E5" sqref="E5"/>
    </sheetView>
  </sheetViews>
  <sheetFormatPr defaultRowHeight="15" x14ac:dyDescent="0.25"/>
  <cols>
    <col min="1" max="1" width="50.42578125" customWidth="1"/>
    <col min="2" max="2" width="19.28515625" customWidth="1"/>
    <col min="3" max="3" width="14.28515625" customWidth="1"/>
    <col min="5" max="5" width="17.7109375" customWidth="1"/>
  </cols>
  <sheetData>
    <row r="1" spans="1:6" ht="23.25" x14ac:dyDescent="0.35">
      <c r="A1" s="107" t="s">
        <v>37</v>
      </c>
      <c r="B1" s="107"/>
      <c r="C1" s="107"/>
      <c r="D1" s="22"/>
      <c r="E1" s="22"/>
      <c r="F1" s="22"/>
    </row>
    <row r="2" spans="1:6" ht="17.25" customHeight="1" x14ac:dyDescent="0.25">
      <c r="A2" s="105" t="s">
        <v>49</v>
      </c>
      <c r="B2" s="105"/>
      <c r="C2" s="162">
        <v>105000</v>
      </c>
      <c r="D2" s="3"/>
      <c r="E2" s="3"/>
      <c r="F2" s="3"/>
    </row>
    <row r="3" spans="1:6" ht="15.75" x14ac:dyDescent="0.25">
      <c r="A3" s="7" t="s">
        <v>38</v>
      </c>
      <c r="B3" s="160">
        <v>12</v>
      </c>
      <c r="C3" s="20">
        <f>ROUND(B3/100,2)</f>
        <v>0.12</v>
      </c>
      <c r="D3" s="3"/>
      <c r="E3" s="3"/>
      <c r="F3" s="3"/>
    </row>
    <row r="4" spans="1:6" ht="15.75" x14ac:dyDescent="0.25">
      <c r="A4" s="7" t="s">
        <v>39</v>
      </c>
      <c r="B4" s="160">
        <v>2.1</v>
      </c>
      <c r="C4" s="21">
        <f>ROUND(B4/100,3)</f>
        <v>2.1000000000000001E-2</v>
      </c>
      <c r="D4" s="3"/>
      <c r="E4" s="3"/>
      <c r="F4" s="3"/>
    </row>
    <row r="5" spans="1:6" ht="15.75" customHeight="1" x14ac:dyDescent="0.25">
      <c r="A5" s="7" t="s">
        <v>40</v>
      </c>
      <c r="B5" s="160">
        <v>17</v>
      </c>
      <c r="C5" s="20">
        <f t="shared" ref="C5:C13" si="0">ROUND(B5/100,2)</f>
        <v>0.17</v>
      </c>
      <c r="D5" s="3"/>
      <c r="E5" s="3"/>
      <c r="F5" s="3"/>
    </row>
    <row r="6" spans="1:6" ht="15.75" x14ac:dyDescent="0.25">
      <c r="A6" s="7" t="s">
        <v>41</v>
      </c>
      <c r="B6" s="160">
        <v>23</v>
      </c>
      <c r="C6" s="20">
        <f t="shared" si="0"/>
        <v>0.23</v>
      </c>
      <c r="D6" s="3"/>
      <c r="E6" s="3"/>
      <c r="F6" s="3"/>
    </row>
    <row r="7" spans="1:6" ht="17.25" customHeight="1" x14ac:dyDescent="0.25">
      <c r="A7" s="7" t="s">
        <v>42</v>
      </c>
      <c r="B7" s="160">
        <v>22</v>
      </c>
      <c r="C7" s="20">
        <f t="shared" si="0"/>
        <v>0.22</v>
      </c>
      <c r="D7" s="3"/>
      <c r="E7" s="3"/>
      <c r="F7" s="3"/>
    </row>
    <row r="8" spans="1:6" ht="33.75" customHeight="1" x14ac:dyDescent="0.25">
      <c r="A8" s="7" t="s">
        <v>43</v>
      </c>
      <c r="B8" s="160">
        <v>91</v>
      </c>
      <c r="C8" s="20">
        <f t="shared" si="0"/>
        <v>0.91</v>
      </c>
      <c r="D8" s="3"/>
      <c r="E8" s="3"/>
      <c r="F8" s="3"/>
    </row>
    <row r="9" spans="1:6" ht="19.5" customHeight="1" x14ac:dyDescent="0.25">
      <c r="A9" s="7" t="s">
        <v>44</v>
      </c>
      <c r="B9" s="160">
        <v>52</v>
      </c>
      <c r="C9" s="20">
        <f t="shared" si="0"/>
        <v>0.52</v>
      </c>
      <c r="D9" s="3"/>
      <c r="E9" s="3"/>
      <c r="F9" s="3"/>
    </row>
    <row r="10" spans="1:6" ht="16.5" customHeight="1" x14ac:dyDescent="0.25">
      <c r="A10" s="7" t="s">
        <v>45</v>
      </c>
      <c r="B10" s="160">
        <v>54</v>
      </c>
      <c r="C10" s="20">
        <f t="shared" si="0"/>
        <v>0.54</v>
      </c>
      <c r="D10" s="3"/>
      <c r="E10" s="3"/>
      <c r="F10" s="3"/>
    </row>
    <row r="11" spans="1:6" ht="15.75" x14ac:dyDescent="0.25">
      <c r="A11" s="7" t="s">
        <v>46</v>
      </c>
      <c r="B11" s="160">
        <v>2.2999999999999998</v>
      </c>
      <c r="C11" s="21">
        <f>ROUND(B11/100,3)</f>
        <v>2.3E-2</v>
      </c>
      <c r="D11" s="3"/>
      <c r="E11" s="3"/>
      <c r="F11" s="3"/>
    </row>
    <row r="12" spans="1:6" ht="15.75" x14ac:dyDescent="0.25">
      <c r="A12" s="7" t="s">
        <v>47</v>
      </c>
      <c r="B12" s="160">
        <v>19</v>
      </c>
      <c r="C12" s="20">
        <f t="shared" si="0"/>
        <v>0.19</v>
      </c>
      <c r="D12" s="3"/>
      <c r="E12" s="3"/>
      <c r="F12" s="3"/>
    </row>
    <row r="13" spans="1:6" ht="14.25" customHeight="1" x14ac:dyDescent="0.25">
      <c r="A13" s="7" t="s">
        <v>48</v>
      </c>
      <c r="B13" s="160">
        <v>20</v>
      </c>
      <c r="C13" s="20">
        <f t="shared" si="0"/>
        <v>0.2</v>
      </c>
      <c r="D13" s="3"/>
      <c r="E13" s="3"/>
      <c r="F13" s="3"/>
    </row>
    <row r="14" spans="1:6" ht="15.75" x14ac:dyDescent="0.25">
      <c r="A14" s="106" t="s">
        <v>141</v>
      </c>
      <c r="B14" s="106"/>
      <c r="C14" s="106"/>
    </row>
    <row r="15" spans="1:6" ht="15.75" x14ac:dyDescent="0.25">
      <c r="A15" s="18" t="s">
        <v>50</v>
      </c>
      <c r="B15" s="161">
        <v>250400</v>
      </c>
      <c r="C15" s="19">
        <f>B15</f>
        <v>250400</v>
      </c>
    </row>
    <row r="16" spans="1:6" ht="15.75" x14ac:dyDescent="0.25">
      <c r="A16" s="18" t="s">
        <v>51</v>
      </c>
      <c r="B16" s="161">
        <v>0.72</v>
      </c>
      <c r="C16" s="19">
        <f>B16</f>
        <v>0.72</v>
      </c>
    </row>
    <row r="18" spans="2:5" x14ac:dyDescent="0.25">
      <c r="E18" s="69"/>
    </row>
    <row r="19" spans="2:5" x14ac:dyDescent="0.25">
      <c r="E19" s="69"/>
    </row>
    <row r="20" spans="2:5" x14ac:dyDescent="0.25">
      <c r="E20" s="69"/>
    </row>
    <row r="21" spans="2:5" x14ac:dyDescent="0.25">
      <c r="B21" s="108" t="s">
        <v>67</v>
      </c>
      <c r="C21" s="109"/>
      <c r="E21" s="69"/>
    </row>
    <row r="22" spans="2:5" x14ac:dyDescent="0.25">
      <c r="B22" s="68">
        <v>2</v>
      </c>
      <c r="C22" s="68">
        <v>44.98</v>
      </c>
      <c r="E22" s="69"/>
    </row>
    <row r="23" spans="2:5" x14ac:dyDescent="0.25">
      <c r="B23" s="68">
        <v>3</v>
      </c>
      <c r="C23" s="68">
        <v>47.97</v>
      </c>
      <c r="E23" s="69"/>
    </row>
    <row r="24" spans="2:5" x14ac:dyDescent="0.25">
      <c r="B24" s="68">
        <v>4</v>
      </c>
      <c r="C24" s="68">
        <v>50.94</v>
      </c>
      <c r="E24" s="69"/>
    </row>
    <row r="25" spans="2:5" x14ac:dyDescent="0.25">
      <c r="B25" s="68">
        <v>5</v>
      </c>
      <c r="C25" s="68">
        <v>57.23</v>
      </c>
      <c r="E25" s="69"/>
    </row>
    <row r="26" spans="2:5" x14ac:dyDescent="0.25">
      <c r="B26" s="68">
        <v>6</v>
      </c>
      <c r="C26" s="68">
        <v>60.21</v>
      </c>
      <c r="E26" s="69"/>
    </row>
    <row r="27" spans="2:5" x14ac:dyDescent="0.25">
      <c r="E27" s="69"/>
    </row>
  </sheetData>
  <mergeCells count="4">
    <mergeCell ref="A2:B2"/>
    <mergeCell ref="A14:C14"/>
    <mergeCell ref="A1:C1"/>
    <mergeCell ref="B21:C21"/>
  </mergeCells>
  <pageMargins left="0.7" right="0.7" top="0.75" bottom="0.75" header="0.3" footer="0.3"/>
  <pageSetup paperSize="9" orientation="portrait" r:id="rId1"/>
  <ignoredErrors>
    <ignoredError sqref="C4 C11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8"/>
  <sheetViews>
    <sheetView topLeftCell="A7" workbookViewId="0">
      <selection activeCell="B22" sqref="B22"/>
    </sheetView>
  </sheetViews>
  <sheetFormatPr defaultRowHeight="15" x14ac:dyDescent="0.25"/>
  <cols>
    <col min="1" max="1" width="58" customWidth="1"/>
    <col min="2" max="2" width="20.7109375" customWidth="1"/>
  </cols>
  <sheetData>
    <row r="1" spans="1:8" x14ac:dyDescent="0.25">
      <c r="A1" s="143" t="s">
        <v>85</v>
      </c>
      <c r="B1" s="143"/>
      <c r="C1" s="143"/>
      <c r="D1" s="143"/>
      <c r="E1" s="143"/>
      <c r="F1" s="143"/>
      <c r="G1" s="143"/>
      <c r="H1" s="143"/>
    </row>
    <row r="3" spans="1:8" x14ac:dyDescent="0.25">
      <c r="A3" s="46" t="s">
        <v>86</v>
      </c>
      <c r="B3" s="46" t="s">
        <v>9</v>
      </c>
    </row>
    <row r="4" spans="1:8" x14ac:dyDescent="0.25">
      <c r="A4" s="1" t="s">
        <v>87</v>
      </c>
      <c r="B4" s="70">
        <f>'Т-ЗВ'!B4</f>
        <v>328.91000000000008</v>
      </c>
    </row>
    <row r="5" spans="1:8" x14ac:dyDescent="0.25">
      <c r="A5" s="1" t="s">
        <v>88</v>
      </c>
      <c r="B5" s="70">
        <f>'Т-ЗВ'!B5</f>
        <v>3.71</v>
      </c>
    </row>
    <row r="6" spans="1:8" x14ac:dyDescent="0.25">
      <c r="A6" s="1" t="s">
        <v>52</v>
      </c>
      <c r="B6" s="70">
        <f>'Т-ЗВ'!B7</f>
        <v>39.909999999999997</v>
      </c>
    </row>
    <row r="7" spans="1:8" x14ac:dyDescent="0.25">
      <c r="A7" s="1" t="s">
        <v>90</v>
      </c>
      <c r="B7" s="70">
        <f>'Т-ЗВ'!B8</f>
        <v>6.91</v>
      </c>
    </row>
    <row r="8" spans="1:8" x14ac:dyDescent="0.25">
      <c r="A8" s="1" t="s">
        <v>89</v>
      </c>
      <c r="B8" s="70">
        <f>Енергія!C4</f>
        <v>3.16</v>
      </c>
    </row>
    <row r="9" spans="1:8" x14ac:dyDescent="0.25">
      <c r="A9" s="48" t="s">
        <v>91</v>
      </c>
      <c r="B9" s="83">
        <f>B4+B5+B6-B7+B8</f>
        <v>368.78000000000009</v>
      </c>
    </row>
    <row r="10" spans="1:8" x14ac:dyDescent="0.25">
      <c r="A10" s="1" t="s">
        <v>92</v>
      </c>
      <c r="B10" s="70">
        <f>Осн.зарплата!E19</f>
        <v>312.1737</v>
      </c>
    </row>
    <row r="11" spans="1:8" x14ac:dyDescent="0.25">
      <c r="A11" s="1" t="s">
        <v>72</v>
      </c>
      <c r="B11" s="70">
        <f>Дод.зарплата_Соц.страх!F4</f>
        <v>71.8</v>
      </c>
    </row>
    <row r="12" spans="1:8" x14ac:dyDescent="0.25">
      <c r="A12" s="1" t="s">
        <v>93</v>
      </c>
      <c r="B12" s="70">
        <f>Дод.зарплата_Соц.страх!F8</f>
        <v>84.47</v>
      </c>
    </row>
    <row r="13" spans="1:8" x14ac:dyDescent="0.25">
      <c r="A13" s="1" t="s">
        <v>94</v>
      </c>
      <c r="B13" s="70">
        <f>ВУЕО_ЗВВ_ЗГВ!F4</f>
        <v>0</v>
      </c>
    </row>
    <row r="14" spans="1:8" x14ac:dyDescent="0.25">
      <c r="A14" s="1" t="s">
        <v>95</v>
      </c>
      <c r="B14" s="70">
        <f>ВУЕО_ЗВВ_ЗГВ!F8</f>
        <v>0</v>
      </c>
    </row>
    <row r="15" spans="1:8" x14ac:dyDescent="0.25">
      <c r="A15" s="49" t="s">
        <v>96</v>
      </c>
      <c r="B15" s="83">
        <f>B9+B10+B11+B12+B13+B14</f>
        <v>837.22370000000001</v>
      </c>
    </row>
    <row r="16" spans="1:8" x14ac:dyDescent="0.25">
      <c r="A16" s="1" t="s">
        <v>97</v>
      </c>
      <c r="B16" s="70">
        <f>ВУЕО_ЗВВ_ЗГВ!F12</f>
        <v>0</v>
      </c>
    </row>
    <row r="17" spans="1:2" x14ac:dyDescent="0.25">
      <c r="A17" s="1" t="s">
        <v>98</v>
      </c>
      <c r="B17" s="70">
        <f>Собівартість!N9</f>
        <v>19.260000000000002</v>
      </c>
    </row>
    <row r="18" spans="1:2" ht="18.75" x14ac:dyDescent="0.3">
      <c r="A18" s="49" t="s">
        <v>99</v>
      </c>
      <c r="B18" s="84">
        <f>B15+B16+B17</f>
        <v>856.4837</v>
      </c>
    </row>
  </sheetData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0"/>
  <sheetViews>
    <sheetView workbookViewId="0">
      <selection activeCell="I16" sqref="I16"/>
    </sheetView>
  </sheetViews>
  <sheetFormatPr defaultRowHeight="15" x14ac:dyDescent="0.25"/>
  <cols>
    <col min="12" max="12" width="11.7109375" customWidth="1"/>
  </cols>
  <sheetData>
    <row r="1" spans="1:12" x14ac:dyDescent="0.25">
      <c r="A1" s="144" t="s">
        <v>100</v>
      </c>
      <c r="B1" s="144"/>
      <c r="C1" s="144"/>
      <c r="D1" s="144"/>
      <c r="E1" s="144"/>
      <c r="F1" s="144"/>
      <c r="G1" s="144"/>
      <c r="H1" s="144"/>
    </row>
    <row r="3" spans="1:12" x14ac:dyDescent="0.25">
      <c r="A3" s="5" t="s">
        <v>102</v>
      </c>
      <c r="D3" s="80">
        <f>ROUND(Калькуляція!B18*Ціна!C5,2)</f>
        <v>162.72999999999999</v>
      </c>
      <c r="G3" s="143" t="s">
        <v>103</v>
      </c>
      <c r="H3" s="143"/>
      <c r="I3" s="143"/>
      <c r="J3" s="143"/>
      <c r="K3" s="80">
        <f>E6+D3</f>
        <v>1019.2137</v>
      </c>
    </row>
    <row r="5" spans="1:12" x14ac:dyDescent="0.25">
      <c r="A5" s="145" t="s">
        <v>101</v>
      </c>
      <c r="B5" s="145"/>
      <c r="C5" s="83">
        <f>ЗАВДАННЯ!C12</f>
        <v>0.19</v>
      </c>
    </row>
    <row r="6" spans="1:12" x14ac:dyDescent="0.25">
      <c r="E6" s="94">
        <f>Калькуляція!B18</f>
        <v>856.4837</v>
      </c>
    </row>
    <row r="10" spans="1:12" ht="21" x14ac:dyDescent="0.35">
      <c r="A10" s="5" t="s">
        <v>104</v>
      </c>
      <c r="D10" s="80">
        <f>ROUND(K3*ЗАВДАННЯ!C13,2)</f>
        <v>203.84</v>
      </c>
      <c r="G10" s="5" t="s">
        <v>105</v>
      </c>
      <c r="L10" s="85">
        <f>K3+D10</f>
        <v>1223.0536999999999</v>
      </c>
    </row>
  </sheetData>
  <mergeCells count="3">
    <mergeCell ref="A1:H1"/>
    <mergeCell ref="A5:B5"/>
    <mergeCell ref="G3:J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21"/>
  <sheetViews>
    <sheetView topLeftCell="A4" workbookViewId="0">
      <selection activeCell="H20" sqref="H20"/>
    </sheetView>
  </sheetViews>
  <sheetFormatPr defaultRowHeight="15" x14ac:dyDescent="0.25"/>
  <sheetData>
    <row r="1" spans="1:11" x14ac:dyDescent="0.25">
      <c r="A1" s="5" t="s">
        <v>106</v>
      </c>
    </row>
    <row r="7" spans="1:11" x14ac:dyDescent="0.25">
      <c r="A7" s="5" t="s">
        <v>107</v>
      </c>
      <c r="B7" s="152">
        <f>ROUND(E18*E21+E19,2)</f>
        <v>128671038.5</v>
      </c>
      <c r="C7" s="152"/>
    </row>
    <row r="10" spans="1:11" x14ac:dyDescent="0.25">
      <c r="A10" s="5" t="s">
        <v>108</v>
      </c>
      <c r="I10" s="5" t="s">
        <v>109</v>
      </c>
    </row>
    <row r="15" spans="1:11" x14ac:dyDescent="0.25">
      <c r="A15" s="5" t="s">
        <v>110</v>
      </c>
      <c r="C15" s="153">
        <f>ROUND(J15/B7,2)</f>
        <v>0.7</v>
      </c>
      <c r="D15" s="154"/>
      <c r="I15" s="5" t="s">
        <v>111</v>
      </c>
      <c r="J15" s="153">
        <f>ROUND(E17*E18+E19*E20,2)</f>
        <v>90111076.5</v>
      </c>
      <c r="K15" s="154"/>
    </row>
    <row r="17" spans="1:11" x14ac:dyDescent="0.25">
      <c r="A17" s="146" t="s">
        <v>99</v>
      </c>
      <c r="B17" s="147"/>
      <c r="C17" s="147"/>
      <c r="D17" s="148"/>
      <c r="E17" s="87">
        <f>Калькуляція!B18</f>
        <v>856.4837</v>
      </c>
    </row>
    <row r="18" spans="1:11" x14ac:dyDescent="0.25">
      <c r="A18" s="146" t="s">
        <v>143</v>
      </c>
      <c r="B18" s="147"/>
      <c r="C18" s="147"/>
      <c r="D18" s="148"/>
      <c r="E18" s="86">
        <f>ЗАВДАННЯ!C2</f>
        <v>105000</v>
      </c>
    </row>
    <row r="19" spans="1:11" x14ac:dyDescent="0.25">
      <c r="A19" s="146" t="s">
        <v>144</v>
      </c>
      <c r="B19" s="147"/>
      <c r="C19" s="147"/>
      <c r="D19" s="148"/>
      <c r="E19" s="86">
        <f>ЗАВДАННЯ!C15</f>
        <v>250400</v>
      </c>
    </row>
    <row r="20" spans="1:11" x14ac:dyDescent="0.25">
      <c r="A20" s="146" t="s">
        <v>145</v>
      </c>
      <c r="B20" s="147"/>
      <c r="C20" s="147"/>
      <c r="D20" s="148"/>
      <c r="E20" s="86">
        <f>ЗАВДАННЯ!C16</f>
        <v>0.72</v>
      </c>
      <c r="J20" s="145"/>
      <c r="K20" s="145"/>
    </row>
    <row r="21" spans="1:11" x14ac:dyDescent="0.25">
      <c r="A21" s="149" t="s">
        <v>146</v>
      </c>
      <c r="B21" s="150"/>
      <c r="C21" s="150"/>
      <c r="D21" s="151"/>
      <c r="E21" s="87">
        <f>Ціна!L10</f>
        <v>1223.0536999999999</v>
      </c>
      <c r="J21" s="145"/>
      <c r="K21" s="145"/>
    </row>
  </sheetData>
  <mergeCells count="10">
    <mergeCell ref="A20:D20"/>
    <mergeCell ref="A21:D21"/>
    <mergeCell ref="B7:C7"/>
    <mergeCell ref="J15:K15"/>
    <mergeCell ref="C15:D15"/>
    <mergeCell ref="A17:D17"/>
    <mergeCell ref="A18:D18"/>
    <mergeCell ref="A19:D19"/>
    <mergeCell ref="J20:K20"/>
    <mergeCell ref="J21:K2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9"/>
  <sheetViews>
    <sheetView workbookViewId="0">
      <selection activeCell="E16" sqref="E16"/>
    </sheetView>
  </sheetViews>
  <sheetFormatPr defaultRowHeight="15" x14ac:dyDescent="0.25"/>
  <cols>
    <col min="1" max="1" width="10.7109375" customWidth="1"/>
  </cols>
  <sheetData>
    <row r="1" spans="1:3" x14ac:dyDescent="0.25">
      <c r="A1" s="5" t="s">
        <v>112</v>
      </c>
    </row>
    <row r="5" spans="1:3" x14ac:dyDescent="0.25">
      <c r="A5" s="5" t="s">
        <v>113</v>
      </c>
      <c r="B5" s="153">
        <f>B8-B9</f>
        <v>38559962</v>
      </c>
      <c r="C5" s="154"/>
    </row>
    <row r="8" spans="1:3" x14ac:dyDescent="0.25">
      <c r="A8" s="86" t="s">
        <v>147</v>
      </c>
      <c r="B8" s="155">
        <f>ТП!B7</f>
        <v>128671038.5</v>
      </c>
      <c r="C8" s="156"/>
    </row>
    <row r="9" spans="1:3" x14ac:dyDescent="0.25">
      <c r="A9" s="86" t="s">
        <v>148</v>
      </c>
      <c r="B9" s="155">
        <f>ТП!J15</f>
        <v>90111076.5</v>
      </c>
      <c r="C9" s="156"/>
    </row>
  </sheetData>
  <mergeCells count="3">
    <mergeCell ref="B8:C8"/>
    <mergeCell ref="B9:C9"/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zoomScaleNormal="100" workbookViewId="0">
      <selection activeCell="G10" sqref="G10"/>
    </sheetView>
  </sheetViews>
  <sheetFormatPr defaultRowHeight="15" x14ac:dyDescent="0.25"/>
  <cols>
    <col min="1" max="1" width="41.140625" customWidth="1"/>
    <col min="2" max="2" width="25.28515625" customWidth="1"/>
    <col min="3" max="3" width="16.28515625" customWidth="1"/>
    <col min="4" max="4" width="24" customWidth="1"/>
  </cols>
  <sheetData>
    <row r="1" spans="1:5" ht="33.75" customHeight="1" x14ac:dyDescent="0.25">
      <c r="A1" s="113" t="s">
        <v>1</v>
      </c>
      <c r="B1" s="113"/>
      <c r="C1" s="113"/>
      <c r="D1" s="113"/>
      <c r="E1" s="113"/>
    </row>
    <row r="2" spans="1:5" ht="18.75" customHeight="1" x14ac:dyDescent="0.25">
      <c r="A2" s="114" t="s">
        <v>22</v>
      </c>
      <c r="B2" s="115" t="s">
        <v>2</v>
      </c>
      <c r="C2" s="116" t="s">
        <v>0</v>
      </c>
      <c r="D2" s="115" t="s">
        <v>3</v>
      </c>
    </row>
    <row r="3" spans="1:5" ht="15.75" customHeight="1" x14ac:dyDescent="0.25">
      <c r="A3" s="114"/>
      <c r="B3" s="115"/>
      <c r="C3" s="116"/>
      <c r="D3" s="114"/>
    </row>
    <row r="4" spans="1:5" ht="15.75" x14ac:dyDescent="0.25">
      <c r="A4" s="163" t="s">
        <v>21</v>
      </c>
      <c r="B4" s="164">
        <v>0.22886000000000001</v>
      </c>
      <c r="C4" s="110">
        <f>ЗАВДАННЯ!C2</f>
        <v>105000</v>
      </c>
      <c r="D4" s="9">
        <f>B4*$C$4</f>
        <v>24030.3</v>
      </c>
    </row>
    <row r="5" spans="1:5" ht="15.75" x14ac:dyDescent="0.25">
      <c r="A5" s="163" t="s">
        <v>155</v>
      </c>
      <c r="B5" s="164">
        <v>0.2266</v>
      </c>
      <c r="C5" s="111"/>
      <c r="D5" s="9">
        <f t="shared" ref="D5:D15" si="0">B5*$C$4</f>
        <v>23793</v>
      </c>
    </row>
    <row r="6" spans="1:5" ht="15.75" x14ac:dyDescent="0.25">
      <c r="A6" s="163" t="s">
        <v>156</v>
      </c>
      <c r="B6" s="164">
        <v>0.309</v>
      </c>
      <c r="C6" s="111"/>
      <c r="D6" s="9">
        <f t="shared" si="0"/>
        <v>32445</v>
      </c>
    </row>
    <row r="7" spans="1:5" ht="15.75" x14ac:dyDescent="0.25">
      <c r="A7" s="163" t="s">
        <v>164</v>
      </c>
      <c r="B7" s="164">
        <v>0.14419999999999999</v>
      </c>
      <c r="C7" s="111"/>
      <c r="D7" s="9">
        <f t="shared" si="0"/>
        <v>15141</v>
      </c>
    </row>
    <row r="8" spans="1:5" ht="15.75" x14ac:dyDescent="0.25">
      <c r="A8" s="163" t="s">
        <v>165</v>
      </c>
      <c r="B8" s="164">
        <v>0.20805999999999999</v>
      </c>
      <c r="C8" s="111"/>
      <c r="D8" s="9">
        <f t="shared" si="0"/>
        <v>21846.3</v>
      </c>
    </row>
    <row r="9" spans="1:5" ht="16.5" customHeight="1" x14ac:dyDescent="0.25">
      <c r="A9" s="165" t="s">
        <v>166</v>
      </c>
      <c r="B9" s="164">
        <v>0.81369999999999998</v>
      </c>
      <c r="C9" s="111"/>
      <c r="D9" s="9">
        <f t="shared" si="0"/>
        <v>85438.5</v>
      </c>
    </row>
    <row r="10" spans="1:5" ht="15.75" x14ac:dyDescent="0.25">
      <c r="A10" s="165" t="s">
        <v>167</v>
      </c>
      <c r="B10" s="164">
        <v>0.35020000000000001</v>
      </c>
      <c r="C10" s="111"/>
      <c r="D10" s="9">
        <f t="shared" si="0"/>
        <v>36771</v>
      </c>
    </row>
    <row r="11" spans="1:5" ht="15.75" x14ac:dyDescent="0.25">
      <c r="A11" s="165" t="s">
        <v>168</v>
      </c>
      <c r="B11" s="164">
        <v>0.11124000000000001</v>
      </c>
      <c r="C11" s="111"/>
      <c r="D11" s="9">
        <f t="shared" si="0"/>
        <v>11680.2</v>
      </c>
    </row>
    <row r="12" spans="1:5" ht="15.75" x14ac:dyDescent="0.25">
      <c r="A12" s="165" t="s">
        <v>169</v>
      </c>
      <c r="B12" s="164">
        <v>2.1629999999999998</v>
      </c>
      <c r="C12" s="111"/>
      <c r="D12" s="9">
        <f t="shared" si="0"/>
        <v>227114.99999999997</v>
      </c>
    </row>
    <row r="13" spans="1:5" ht="15.75" x14ac:dyDescent="0.25">
      <c r="A13" s="165" t="s">
        <v>170</v>
      </c>
      <c r="B13" s="164">
        <v>0.19570000000000001</v>
      </c>
      <c r="C13" s="111"/>
      <c r="D13" s="9">
        <f t="shared" si="0"/>
        <v>20548.5</v>
      </c>
    </row>
    <row r="14" spans="1:5" ht="14.25" customHeight="1" x14ac:dyDescent="0.25">
      <c r="A14" s="165" t="s">
        <v>171</v>
      </c>
      <c r="B14" s="164">
        <v>0.32754</v>
      </c>
      <c r="C14" s="111"/>
      <c r="D14" s="9">
        <f t="shared" si="0"/>
        <v>34391.699999999997</v>
      </c>
    </row>
    <row r="15" spans="1:5" ht="15.75" x14ac:dyDescent="0.25">
      <c r="A15" s="165" t="s">
        <v>172</v>
      </c>
      <c r="B15" s="164">
        <v>0.26779999999999998</v>
      </c>
      <c r="C15" s="111"/>
      <c r="D15" s="9">
        <f t="shared" si="0"/>
        <v>28118.999999999996</v>
      </c>
    </row>
    <row r="16" spans="1:5" ht="21.75" customHeight="1" x14ac:dyDescent="0.25">
      <c r="A16" s="8" t="s">
        <v>18</v>
      </c>
      <c r="B16" s="159">
        <f>SUM(B4:B15)</f>
        <v>5.3459000000000003</v>
      </c>
      <c r="C16" s="112"/>
      <c r="D16" s="101">
        <f>SUM(D4:D15)</f>
        <v>561319.5</v>
      </c>
    </row>
  </sheetData>
  <mergeCells count="6">
    <mergeCell ref="C4:C16"/>
    <mergeCell ref="A1:E1"/>
    <mergeCell ref="A2:A3"/>
    <mergeCell ref="B2:B3"/>
    <mergeCell ref="C2:C3"/>
    <mergeCell ref="D2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0"/>
  <sheetViews>
    <sheetView topLeftCell="A10" workbookViewId="0">
      <selection activeCell="A15" sqref="A15:A21"/>
    </sheetView>
  </sheetViews>
  <sheetFormatPr defaultRowHeight="15" x14ac:dyDescent="0.25"/>
  <cols>
    <col min="1" max="1" width="34.42578125" customWidth="1"/>
    <col min="2" max="2" width="16.140625" customWidth="1"/>
    <col min="3" max="3" width="34.85546875" customWidth="1"/>
    <col min="4" max="4" width="13.28515625" customWidth="1"/>
    <col min="5" max="5" width="17.5703125" customWidth="1"/>
    <col min="6" max="6" width="18.7109375" customWidth="1"/>
    <col min="9" max="9" width="34.5703125" customWidth="1"/>
    <col min="10" max="10" width="20.140625" customWidth="1"/>
    <col min="11" max="11" width="14.85546875" customWidth="1"/>
    <col min="12" max="12" width="21.5703125" customWidth="1"/>
  </cols>
  <sheetData>
    <row r="1" spans="1:20" ht="38.25" customHeight="1" x14ac:dyDescent="0.25">
      <c r="A1" s="12" t="s">
        <v>20</v>
      </c>
    </row>
    <row r="2" spans="1:20" ht="31.5" x14ac:dyDescent="0.25">
      <c r="A2" s="10" t="s">
        <v>4</v>
      </c>
      <c r="B2" s="10" t="s">
        <v>5</v>
      </c>
      <c r="C2" s="10" t="s">
        <v>6</v>
      </c>
      <c r="D2" s="10" t="s">
        <v>7</v>
      </c>
      <c r="E2" s="10" t="s">
        <v>8</v>
      </c>
      <c r="F2" s="10" t="s">
        <v>9</v>
      </c>
      <c r="I2" s="117"/>
      <c r="J2" s="117"/>
      <c r="K2" s="117"/>
      <c r="L2" s="117"/>
      <c r="M2" s="117"/>
      <c r="N2" s="117"/>
      <c r="O2" s="51"/>
      <c r="P2" s="51"/>
      <c r="Q2" s="51"/>
      <c r="R2" s="52"/>
      <c r="S2" s="50"/>
      <c r="T2" s="50"/>
    </row>
    <row r="3" spans="1:20" ht="15.75" x14ac:dyDescent="0.25">
      <c r="A3" s="119" t="s">
        <v>10</v>
      </c>
      <c r="B3" s="119"/>
      <c r="C3" s="119"/>
      <c r="D3" s="119"/>
      <c r="E3" s="119"/>
      <c r="F3" s="119"/>
      <c r="I3" s="53" t="s">
        <v>157</v>
      </c>
      <c r="J3" s="53"/>
      <c r="K3" s="53"/>
      <c r="L3" s="53"/>
      <c r="M3" s="54"/>
      <c r="N3" s="54"/>
      <c r="O3" s="30"/>
      <c r="P3" s="30"/>
      <c r="Q3" s="30"/>
      <c r="R3" s="50"/>
      <c r="S3" s="50"/>
      <c r="T3" s="50"/>
    </row>
    <row r="4" spans="1:20" x14ac:dyDescent="0.25">
      <c r="A4" s="102" t="s">
        <v>115</v>
      </c>
      <c r="B4" s="97" t="s">
        <v>116</v>
      </c>
      <c r="C4" s="98" t="s">
        <v>161</v>
      </c>
      <c r="D4" s="166">
        <v>0.1643</v>
      </c>
      <c r="E4" s="4">
        <v>1275</v>
      </c>
      <c r="F4" s="33">
        <f>ROUND(D4*E4,2)</f>
        <v>209.48</v>
      </c>
      <c r="I4" s="55">
        <v>1125000</v>
      </c>
      <c r="J4" s="53" t="s">
        <v>158</v>
      </c>
      <c r="K4" s="30"/>
      <c r="L4" s="30"/>
      <c r="M4" s="30"/>
      <c r="N4" s="30"/>
      <c r="O4" s="50"/>
      <c r="P4" s="50"/>
      <c r="Q4" s="50"/>
      <c r="R4" s="50"/>
      <c r="S4" s="50"/>
      <c r="T4" s="50"/>
    </row>
    <row r="5" spans="1:20" x14ac:dyDescent="0.25">
      <c r="A5" s="103" t="s">
        <v>117</v>
      </c>
      <c r="B5" s="98" t="s">
        <v>12</v>
      </c>
      <c r="C5" s="98" t="s">
        <v>118</v>
      </c>
      <c r="D5" s="98">
        <v>0.01</v>
      </c>
      <c r="E5" s="4">
        <v>389.5</v>
      </c>
      <c r="F5" s="33">
        <f t="shared" ref="F5:F12" si="0">ROUND(D5*E5,2)</f>
        <v>3.9</v>
      </c>
      <c r="I5" s="50">
        <v>184800</v>
      </c>
      <c r="J5" s="30" t="s">
        <v>159</v>
      </c>
      <c r="K5" s="30"/>
      <c r="L5" s="30"/>
      <c r="M5" s="30"/>
      <c r="N5" s="56"/>
      <c r="O5" s="56"/>
      <c r="P5" s="56"/>
      <c r="Q5" s="56"/>
      <c r="R5" s="57"/>
      <c r="S5" s="50"/>
      <c r="T5" s="50"/>
    </row>
    <row r="6" spans="1:20" x14ac:dyDescent="0.25">
      <c r="A6" s="103" t="s">
        <v>14</v>
      </c>
      <c r="B6" s="98" t="s">
        <v>15</v>
      </c>
      <c r="C6" s="98" t="s">
        <v>119</v>
      </c>
      <c r="D6" s="98">
        <v>0.05</v>
      </c>
      <c r="E6" s="4">
        <v>444.2</v>
      </c>
      <c r="F6" s="33">
        <f t="shared" si="0"/>
        <v>22.21</v>
      </c>
      <c r="I6" s="50"/>
      <c r="J6" s="30"/>
      <c r="K6" s="30"/>
      <c r="L6" s="30"/>
      <c r="M6" s="30"/>
      <c r="N6" s="56"/>
      <c r="O6" s="56"/>
      <c r="P6" s="56"/>
      <c r="Q6" s="56"/>
      <c r="R6" s="57"/>
      <c r="S6" s="50"/>
      <c r="T6" s="50"/>
    </row>
    <row r="7" spans="1:20" x14ac:dyDescent="0.25">
      <c r="A7" s="103" t="s">
        <v>122</v>
      </c>
      <c r="B7" s="98" t="s">
        <v>12</v>
      </c>
      <c r="C7" s="98" t="s">
        <v>123</v>
      </c>
      <c r="D7" s="98">
        <v>0.2</v>
      </c>
      <c r="E7" s="4">
        <v>159.19999999999999</v>
      </c>
      <c r="F7" s="33">
        <f t="shared" si="0"/>
        <v>31.84</v>
      </c>
      <c r="I7" s="50"/>
      <c r="J7" s="30"/>
      <c r="K7" s="30"/>
      <c r="L7" s="30"/>
      <c r="M7" s="30"/>
      <c r="N7" s="56"/>
      <c r="O7" s="56"/>
      <c r="P7" s="56"/>
      <c r="Q7" s="56"/>
      <c r="R7" s="57"/>
      <c r="S7" s="50"/>
      <c r="T7" s="50"/>
    </row>
    <row r="8" spans="1:20" ht="15.75" thickBot="1" x14ac:dyDescent="0.3">
      <c r="A8" s="103" t="s">
        <v>120</v>
      </c>
      <c r="B8" s="98" t="s">
        <v>15</v>
      </c>
      <c r="C8" s="98" t="s">
        <v>162</v>
      </c>
      <c r="D8" s="98">
        <v>3.5000000000000003E-2</v>
      </c>
      <c r="E8" s="4">
        <v>650</v>
      </c>
      <c r="F8" s="33">
        <f t="shared" si="0"/>
        <v>22.75</v>
      </c>
      <c r="I8" s="50"/>
      <c r="J8" s="30"/>
      <c r="K8" s="30"/>
      <c r="L8" s="30"/>
      <c r="M8" s="30"/>
      <c r="N8" s="56"/>
      <c r="O8" s="56"/>
      <c r="P8" s="56"/>
      <c r="Q8" s="56"/>
      <c r="R8" s="57"/>
      <c r="S8" s="50"/>
      <c r="T8" s="50"/>
    </row>
    <row r="9" spans="1:20" ht="19.5" thickBot="1" x14ac:dyDescent="0.3">
      <c r="A9" s="103" t="s">
        <v>11</v>
      </c>
      <c r="B9" s="98" t="s">
        <v>12</v>
      </c>
      <c r="C9" s="98" t="s">
        <v>13</v>
      </c>
      <c r="D9" s="98">
        <v>1.4999999999999999E-2</v>
      </c>
      <c r="E9" s="4">
        <v>1335</v>
      </c>
      <c r="F9" s="33">
        <f t="shared" si="0"/>
        <v>20.03</v>
      </c>
      <c r="H9" s="157">
        <v>1.2E-2</v>
      </c>
      <c r="I9" s="50"/>
      <c r="J9" s="30"/>
      <c r="K9" s="30"/>
      <c r="L9" s="30"/>
      <c r="M9" s="30"/>
      <c r="N9" s="56"/>
      <c r="O9" s="56"/>
      <c r="P9" s="56"/>
      <c r="Q9" s="56"/>
      <c r="R9" s="57"/>
      <c r="S9" s="50"/>
      <c r="T9" s="50"/>
    </row>
    <row r="10" spans="1:20" ht="19.5" thickBot="1" x14ac:dyDescent="0.3">
      <c r="A10" s="103" t="s">
        <v>11</v>
      </c>
      <c r="B10" s="98" t="s">
        <v>12</v>
      </c>
      <c r="C10" s="98" t="s">
        <v>124</v>
      </c>
      <c r="D10" s="98">
        <v>0.01</v>
      </c>
      <c r="E10" s="4">
        <v>1260</v>
      </c>
      <c r="F10" s="33">
        <f t="shared" si="0"/>
        <v>12.6</v>
      </c>
      <c r="H10" s="158">
        <v>2.5999999999999999E-2</v>
      </c>
      <c r="I10" s="50"/>
      <c r="J10" s="30"/>
      <c r="K10" s="30"/>
      <c r="L10" s="30"/>
      <c r="M10" s="30"/>
      <c r="N10" s="56"/>
      <c r="O10" s="56"/>
      <c r="P10" s="56"/>
      <c r="Q10" s="56"/>
      <c r="R10" s="57"/>
      <c r="S10" s="50"/>
      <c r="T10" s="50"/>
    </row>
    <row r="11" spans="1:20" ht="19.5" thickBot="1" x14ac:dyDescent="0.3">
      <c r="A11" s="103" t="s">
        <v>24</v>
      </c>
      <c r="B11" s="98" t="s">
        <v>15</v>
      </c>
      <c r="C11" s="98" t="s">
        <v>128</v>
      </c>
      <c r="D11" s="98">
        <v>0.05</v>
      </c>
      <c r="E11" s="100">
        <v>50</v>
      </c>
      <c r="F11" s="33">
        <f t="shared" si="0"/>
        <v>2.5</v>
      </c>
      <c r="H11" s="158">
        <v>4.8000000000000001E-2</v>
      </c>
    </row>
    <row r="12" spans="1:20" ht="19.5" thickBot="1" x14ac:dyDescent="0.3">
      <c r="A12" s="104" t="s">
        <v>125</v>
      </c>
      <c r="B12" s="99" t="s">
        <v>12</v>
      </c>
      <c r="C12" s="98" t="s">
        <v>126</v>
      </c>
      <c r="D12" s="98">
        <v>0.01</v>
      </c>
      <c r="E12" s="4">
        <v>360</v>
      </c>
      <c r="F12" s="33">
        <f t="shared" si="0"/>
        <v>3.6</v>
      </c>
      <c r="H12" s="158">
        <v>1.2999999999999999E-2</v>
      </c>
      <c r="I12" s="50">
        <v>0.1643</v>
      </c>
      <c r="J12" s="30" t="s">
        <v>160</v>
      </c>
      <c r="K12" s="30"/>
      <c r="L12" s="30"/>
      <c r="M12" s="50"/>
      <c r="N12" s="58"/>
      <c r="O12" s="59"/>
      <c r="P12" s="59"/>
      <c r="Q12" s="59"/>
      <c r="R12" s="50"/>
      <c r="S12" s="50"/>
      <c r="T12" s="50"/>
    </row>
    <row r="13" spans="1:20" ht="19.5" thickBot="1" x14ac:dyDescent="0.3">
      <c r="A13" s="124" t="s">
        <v>25</v>
      </c>
      <c r="B13" s="125"/>
      <c r="C13" s="125"/>
      <c r="D13" s="125"/>
      <c r="E13" s="126"/>
      <c r="F13" s="34">
        <f>SUM(F4:F12)</f>
        <v>328.91000000000008</v>
      </c>
      <c r="H13" s="158">
        <v>1.7999999999999999E-2</v>
      </c>
      <c r="I13" s="50"/>
      <c r="J13" s="30"/>
      <c r="K13" s="30"/>
      <c r="L13" s="30"/>
      <c r="M13" s="50"/>
      <c r="N13" s="50"/>
      <c r="O13" s="59"/>
      <c r="P13" s="59"/>
      <c r="Q13" s="59"/>
      <c r="R13" s="50"/>
      <c r="S13" s="50"/>
      <c r="T13" s="50"/>
    </row>
    <row r="14" spans="1:20" ht="19.5" thickBot="1" x14ac:dyDescent="0.3">
      <c r="A14" s="120" t="s">
        <v>17</v>
      </c>
      <c r="B14" s="121"/>
      <c r="C14" s="121"/>
      <c r="D14" s="121"/>
      <c r="E14" s="121"/>
      <c r="F14" s="122"/>
      <c r="H14" s="158">
        <v>3.7199999999999997E-2</v>
      </c>
      <c r="I14" s="50"/>
      <c r="J14" s="30"/>
      <c r="K14" s="30"/>
      <c r="L14" s="30"/>
      <c r="M14" s="50"/>
      <c r="N14" s="50"/>
      <c r="O14" s="50"/>
      <c r="P14" s="50"/>
      <c r="Q14" s="50"/>
      <c r="R14" s="50"/>
      <c r="S14" s="50"/>
      <c r="T14" s="50"/>
    </row>
    <row r="15" spans="1:20" ht="19.5" thickBot="1" x14ac:dyDescent="0.3">
      <c r="A15" s="168" t="s">
        <v>173</v>
      </c>
      <c r="B15" s="10" t="s">
        <v>163</v>
      </c>
      <c r="C15" s="10"/>
      <c r="D15" s="160">
        <v>2</v>
      </c>
      <c r="E15" s="167">
        <v>9.4299999999999995E-2</v>
      </c>
      <c r="F15" s="32">
        <f>ROUND(D15*E15,2)</f>
        <v>0.19</v>
      </c>
      <c r="H15" s="158">
        <v>2.4E-2</v>
      </c>
      <c r="I15" s="50"/>
      <c r="J15" s="30"/>
      <c r="K15" s="30"/>
      <c r="L15" s="30"/>
      <c r="M15" s="50"/>
      <c r="N15" s="50"/>
      <c r="O15" s="50"/>
      <c r="P15" s="50"/>
      <c r="Q15" s="50"/>
      <c r="R15" s="50"/>
      <c r="S15" s="50"/>
      <c r="T15" s="50"/>
    </row>
    <row r="16" spans="1:20" ht="15.75" x14ac:dyDescent="0.25">
      <c r="A16" s="168" t="s">
        <v>173</v>
      </c>
      <c r="B16" s="10" t="s">
        <v>163</v>
      </c>
      <c r="C16" s="10"/>
      <c r="D16" s="160">
        <v>2</v>
      </c>
      <c r="E16" s="167">
        <v>0.42899999999999999</v>
      </c>
      <c r="F16" s="32">
        <f>ROUND(D16*E16,2)</f>
        <v>0.86</v>
      </c>
      <c r="H16">
        <f>SUM(H9:H15)</f>
        <v>0.1782</v>
      </c>
      <c r="I16" s="50"/>
      <c r="J16" s="30"/>
      <c r="K16" s="30"/>
      <c r="L16" s="30"/>
      <c r="M16" s="50"/>
      <c r="N16" s="50"/>
      <c r="O16" s="50"/>
      <c r="P16" s="50"/>
      <c r="Q16" s="50"/>
      <c r="R16" s="50"/>
      <c r="S16" s="50"/>
      <c r="T16" s="50"/>
    </row>
    <row r="17" spans="1:20" ht="15.75" x14ac:dyDescent="0.25">
      <c r="A17" s="168" t="s">
        <v>174</v>
      </c>
      <c r="B17" s="10" t="s">
        <v>163</v>
      </c>
      <c r="C17" s="10"/>
      <c r="D17" s="160">
        <v>4</v>
      </c>
      <c r="E17" s="167">
        <v>6.8599999999999994E-2</v>
      </c>
      <c r="F17" s="32">
        <f t="shared" ref="F17:F21" si="1">ROUND(D17*E17,2)</f>
        <v>0.27</v>
      </c>
      <c r="I17" s="50"/>
      <c r="J17" s="30"/>
      <c r="K17" s="30"/>
      <c r="L17" s="30"/>
      <c r="M17" s="50"/>
      <c r="N17" s="50"/>
      <c r="O17" s="50"/>
      <c r="P17" s="50"/>
      <c r="Q17" s="50"/>
      <c r="R17" s="50"/>
      <c r="S17" s="50"/>
      <c r="T17" s="50"/>
    </row>
    <row r="18" spans="1:20" ht="15.75" x14ac:dyDescent="0.25">
      <c r="A18" s="168" t="s">
        <v>174</v>
      </c>
      <c r="B18" s="10" t="s">
        <v>163</v>
      </c>
      <c r="C18" s="10"/>
      <c r="D18" s="160">
        <v>4</v>
      </c>
      <c r="E18" s="167">
        <v>6.13E-2</v>
      </c>
      <c r="F18" s="32">
        <f t="shared" si="1"/>
        <v>0.25</v>
      </c>
      <c r="I18" s="50"/>
      <c r="J18" s="30"/>
      <c r="K18" s="30"/>
      <c r="L18" s="30"/>
      <c r="M18" s="50"/>
      <c r="N18" s="50"/>
      <c r="O18" s="50"/>
      <c r="P18" s="50"/>
      <c r="Q18" s="50"/>
      <c r="R18" s="50"/>
      <c r="S18" s="50"/>
      <c r="T18" s="50"/>
    </row>
    <row r="19" spans="1:20" ht="15.75" x14ac:dyDescent="0.25">
      <c r="A19" s="168" t="s">
        <v>174</v>
      </c>
      <c r="B19" s="10" t="s">
        <v>163</v>
      </c>
      <c r="C19" s="10"/>
      <c r="D19" s="160">
        <v>2</v>
      </c>
      <c r="E19" s="167">
        <v>9.4299999999999995E-2</v>
      </c>
      <c r="F19" s="32">
        <f t="shared" si="1"/>
        <v>0.19</v>
      </c>
      <c r="I19" s="50"/>
      <c r="J19" s="30"/>
      <c r="K19" s="30"/>
      <c r="L19" s="30"/>
      <c r="M19" s="30"/>
      <c r="N19" s="30"/>
      <c r="O19" s="50"/>
      <c r="P19" s="50"/>
      <c r="Q19" s="50"/>
      <c r="R19" s="50"/>
      <c r="S19" s="50"/>
      <c r="T19" s="50"/>
    </row>
    <row r="20" spans="1:20" ht="15.75" x14ac:dyDescent="0.25">
      <c r="A20" s="168" t="s">
        <v>175</v>
      </c>
      <c r="B20" s="10" t="s">
        <v>163</v>
      </c>
      <c r="C20" s="10"/>
      <c r="D20" s="160">
        <v>1</v>
      </c>
      <c r="E20" s="167">
        <v>0.17599999999999999</v>
      </c>
      <c r="F20" s="32">
        <f t="shared" si="1"/>
        <v>0.18</v>
      </c>
      <c r="I20" s="50"/>
      <c r="J20" s="30"/>
      <c r="K20" s="30"/>
      <c r="L20" s="30"/>
      <c r="M20" s="50"/>
      <c r="N20" s="50"/>
      <c r="O20" s="50"/>
      <c r="P20" s="50"/>
      <c r="Q20" s="50"/>
      <c r="R20" s="50"/>
      <c r="S20" s="50"/>
      <c r="T20" s="50"/>
    </row>
    <row r="21" spans="1:20" ht="15.75" x14ac:dyDescent="0.25">
      <c r="A21" s="168" t="s">
        <v>176</v>
      </c>
      <c r="B21" s="10" t="s">
        <v>163</v>
      </c>
      <c r="C21" s="10"/>
      <c r="D21" s="160">
        <v>5</v>
      </c>
      <c r="E21" s="167">
        <v>0.39200000000000002</v>
      </c>
      <c r="F21" s="32">
        <f t="shared" si="1"/>
        <v>1.96</v>
      </c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</row>
    <row r="22" spans="1:20" x14ac:dyDescent="0.25">
      <c r="A22" s="123" t="s">
        <v>26</v>
      </c>
      <c r="B22" s="123"/>
      <c r="C22" s="123"/>
      <c r="D22" s="123"/>
      <c r="E22" s="123"/>
      <c r="F22" s="34">
        <f>SUM(F16:F21)</f>
        <v>3.71</v>
      </c>
    </row>
    <row r="23" spans="1:20" x14ac:dyDescent="0.25">
      <c r="A23" s="123" t="s">
        <v>27</v>
      </c>
      <c r="B23" s="123"/>
      <c r="C23" s="123"/>
      <c r="D23" s="123"/>
      <c r="E23" s="123"/>
      <c r="F23" s="35">
        <f>SUM(F13+F22)</f>
        <v>332.62000000000006</v>
      </c>
    </row>
    <row r="35" spans="1:12" x14ac:dyDescent="0.25">
      <c r="A35" s="118" t="s">
        <v>114</v>
      </c>
      <c r="B35" s="118"/>
      <c r="C35" s="118"/>
      <c r="D35" s="118"/>
      <c r="E35" s="118"/>
      <c r="F35" s="118"/>
      <c r="G35" s="51"/>
      <c r="H35" s="51"/>
      <c r="I35" s="51"/>
      <c r="J35" s="52"/>
      <c r="K35" s="50"/>
      <c r="L35" s="50"/>
    </row>
    <row r="36" spans="1:12" x14ac:dyDescent="0.25">
      <c r="A36" s="61" t="s">
        <v>4</v>
      </c>
      <c r="B36" s="61" t="s">
        <v>5</v>
      </c>
      <c r="C36" s="61" t="s">
        <v>6</v>
      </c>
      <c r="D36" s="61" t="s">
        <v>7</v>
      </c>
      <c r="E36" s="62"/>
      <c r="F36" s="62"/>
      <c r="G36" s="30"/>
      <c r="H36" s="30"/>
      <c r="I36" s="30"/>
      <c r="J36" s="50"/>
      <c r="K36" s="50"/>
      <c r="L36" s="50"/>
    </row>
    <row r="37" spans="1:12" x14ac:dyDescent="0.25">
      <c r="A37" s="63" t="s">
        <v>115</v>
      </c>
      <c r="B37" s="61" t="s">
        <v>116</v>
      </c>
      <c r="C37" s="64"/>
      <c r="D37" s="64"/>
      <c r="E37" s="64"/>
      <c r="F37" s="64"/>
      <c r="G37" s="50"/>
      <c r="H37" s="50"/>
      <c r="I37" s="50"/>
      <c r="J37" s="50"/>
      <c r="K37" s="50"/>
      <c r="L37" s="50"/>
    </row>
    <row r="38" spans="1:12" x14ac:dyDescent="0.25">
      <c r="A38" s="47" t="s">
        <v>117</v>
      </c>
      <c r="B38" s="64" t="s">
        <v>12</v>
      </c>
      <c r="C38" s="64" t="s">
        <v>118</v>
      </c>
      <c r="D38" s="64">
        <v>11</v>
      </c>
      <c r="E38" s="64"/>
      <c r="F38" s="65"/>
      <c r="G38" s="56"/>
      <c r="H38" s="56"/>
      <c r="I38" s="56"/>
      <c r="J38" s="57"/>
      <c r="K38" s="50"/>
      <c r="L38" s="50"/>
    </row>
    <row r="39" spans="1:12" x14ac:dyDescent="0.25">
      <c r="A39" s="47" t="s">
        <v>14</v>
      </c>
      <c r="B39" s="64" t="s">
        <v>15</v>
      </c>
      <c r="C39" s="64" t="s">
        <v>119</v>
      </c>
      <c r="D39" s="64">
        <v>10</v>
      </c>
      <c r="E39" s="47"/>
      <c r="F39" s="66"/>
      <c r="G39" s="59"/>
      <c r="H39" s="59"/>
      <c r="I39" s="59"/>
      <c r="J39" s="50"/>
      <c r="K39" s="50"/>
      <c r="L39" s="50"/>
    </row>
    <row r="40" spans="1:12" x14ac:dyDescent="0.25">
      <c r="A40" s="47" t="s">
        <v>120</v>
      </c>
      <c r="B40" s="64" t="s">
        <v>15</v>
      </c>
      <c r="C40" s="64" t="s">
        <v>121</v>
      </c>
      <c r="D40" s="64">
        <v>10</v>
      </c>
      <c r="E40" s="47"/>
      <c r="F40" s="47"/>
      <c r="G40" s="59"/>
      <c r="H40" s="59"/>
      <c r="I40" s="59"/>
      <c r="J40" s="50"/>
      <c r="K40" s="50"/>
      <c r="L40" s="50"/>
    </row>
    <row r="41" spans="1:12" x14ac:dyDescent="0.25">
      <c r="A41" s="47" t="s">
        <v>122</v>
      </c>
      <c r="B41" s="64" t="s">
        <v>12</v>
      </c>
      <c r="C41" s="64" t="s">
        <v>123</v>
      </c>
      <c r="D41" s="64">
        <v>50</v>
      </c>
      <c r="E41" s="47"/>
      <c r="F41" s="47"/>
      <c r="G41" s="50"/>
      <c r="H41" s="50"/>
      <c r="I41" s="50"/>
      <c r="J41" s="50"/>
      <c r="K41" s="50"/>
      <c r="L41" s="50"/>
    </row>
    <row r="42" spans="1:12" x14ac:dyDescent="0.25">
      <c r="A42" s="47" t="s">
        <v>11</v>
      </c>
      <c r="B42" s="64" t="s">
        <v>12</v>
      </c>
      <c r="C42" s="64" t="s">
        <v>13</v>
      </c>
      <c r="D42" s="64">
        <v>50</v>
      </c>
      <c r="E42" s="47"/>
      <c r="F42" s="47"/>
      <c r="G42" s="50"/>
      <c r="H42" s="50"/>
      <c r="I42" s="50"/>
      <c r="J42" s="50"/>
      <c r="K42" s="50"/>
      <c r="L42" s="50"/>
    </row>
    <row r="43" spans="1:12" x14ac:dyDescent="0.25">
      <c r="A43" s="47" t="s">
        <v>11</v>
      </c>
      <c r="B43" s="64" t="s">
        <v>12</v>
      </c>
      <c r="C43" s="64" t="s">
        <v>124</v>
      </c>
      <c r="D43" s="64">
        <v>50</v>
      </c>
      <c r="E43" s="47"/>
      <c r="F43" s="47"/>
      <c r="G43" s="50"/>
      <c r="H43" s="50"/>
      <c r="I43" s="50"/>
      <c r="J43" s="50"/>
      <c r="K43" s="50"/>
      <c r="L43" s="50"/>
    </row>
    <row r="44" spans="1:12" x14ac:dyDescent="0.25">
      <c r="A44" s="47" t="s">
        <v>24</v>
      </c>
      <c r="B44" s="64" t="s">
        <v>15</v>
      </c>
      <c r="C44" s="64"/>
      <c r="D44" s="64">
        <v>50</v>
      </c>
      <c r="E44" s="47"/>
      <c r="F44" s="47"/>
      <c r="G44" s="50"/>
      <c r="H44" s="50"/>
      <c r="I44" s="50"/>
      <c r="J44" s="50"/>
      <c r="K44" s="50"/>
      <c r="L44" s="50"/>
    </row>
    <row r="45" spans="1:12" x14ac:dyDescent="0.25">
      <c r="A45" s="67" t="s">
        <v>125</v>
      </c>
      <c r="B45" s="64" t="s">
        <v>126</v>
      </c>
      <c r="C45" s="64"/>
      <c r="D45" s="64"/>
      <c r="E45" s="64"/>
      <c r="F45" s="47"/>
      <c r="G45" s="50"/>
      <c r="H45" s="50"/>
      <c r="I45" s="50"/>
      <c r="J45" s="50"/>
      <c r="K45" s="50"/>
      <c r="L45" s="50"/>
    </row>
    <row r="46" spans="1:12" x14ac:dyDescent="0.25">
      <c r="A46" s="118" t="s">
        <v>127</v>
      </c>
      <c r="B46" s="118"/>
      <c r="C46" s="118"/>
      <c r="D46" s="118"/>
      <c r="E46" s="118"/>
      <c r="F46" s="118"/>
      <c r="G46" s="50"/>
      <c r="H46" s="50"/>
      <c r="I46" s="50"/>
      <c r="J46" s="50"/>
      <c r="K46" s="50"/>
      <c r="L46" s="50"/>
    </row>
    <row r="47" spans="1:12" x14ac:dyDescent="0.25">
      <c r="A47" s="61" t="s">
        <v>4</v>
      </c>
      <c r="B47" s="61" t="s">
        <v>5</v>
      </c>
      <c r="C47" s="61" t="s">
        <v>6</v>
      </c>
      <c r="D47" s="61" t="s">
        <v>7</v>
      </c>
      <c r="E47" s="62"/>
      <c r="F47" s="65"/>
      <c r="G47" s="60"/>
      <c r="H47" s="60"/>
      <c r="I47" s="60"/>
      <c r="J47" s="60"/>
      <c r="K47" s="60"/>
      <c r="L47" s="60"/>
    </row>
    <row r="48" spans="1:12" x14ac:dyDescent="0.25">
      <c r="A48" s="47" t="s">
        <v>11</v>
      </c>
      <c r="B48" s="64" t="s">
        <v>12</v>
      </c>
      <c r="C48" s="64" t="s">
        <v>13</v>
      </c>
      <c r="D48" s="64">
        <v>50</v>
      </c>
      <c r="E48" s="64"/>
      <c r="F48" s="64"/>
      <c r="G48" s="50"/>
      <c r="H48" s="50"/>
      <c r="I48" s="50"/>
      <c r="J48" s="50"/>
      <c r="K48" s="50"/>
      <c r="L48" s="50"/>
    </row>
    <row r="49" spans="1:12" x14ac:dyDescent="0.25">
      <c r="A49" s="47" t="s">
        <v>11</v>
      </c>
      <c r="B49" s="64" t="s">
        <v>12</v>
      </c>
      <c r="C49" s="64" t="s">
        <v>124</v>
      </c>
      <c r="D49" s="64">
        <v>50</v>
      </c>
      <c r="E49" s="47"/>
      <c r="F49" s="47"/>
      <c r="G49" s="50"/>
      <c r="H49" s="50"/>
      <c r="I49" s="50"/>
      <c r="J49" s="50"/>
      <c r="K49" s="50"/>
      <c r="L49" s="50"/>
    </row>
    <row r="50" spans="1:12" x14ac:dyDescent="0.25">
      <c r="A50" s="47" t="s">
        <v>24</v>
      </c>
      <c r="B50" s="64" t="s">
        <v>15</v>
      </c>
      <c r="C50" s="64" t="s">
        <v>128</v>
      </c>
      <c r="D50" s="64">
        <v>50</v>
      </c>
      <c r="E50" s="47"/>
      <c r="F50" s="47"/>
      <c r="G50" s="50"/>
      <c r="H50" s="50"/>
      <c r="I50" s="50"/>
      <c r="J50" s="50"/>
      <c r="K50" s="50"/>
      <c r="L50" s="50"/>
    </row>
    <row r="51" spans="1:12" x14ac:dyDescent="0.25">
      <c r="A51" s="47" t="s">
        <v>14</v>
      </c>
      <c r="B51" s="64" t="s">
        <v>15</v>
      </c>
      <c r="C51" s="64" t="s">
        <v>16</v>
      </c>
      <c r="D51" s="64">
        <v>12</v>
      </c>
      <c r="E51" s="62"/>
      <c r="F51" s="47"/>
      <c r="G51" s="50"/>
      <c r="H51" s="50"/>
      <c r="I51" s="50"/>
      <c r="J51" s="50"/>
      <c r="K51" s="50"/>
      <c r="L51" s="50"/>
    </row>
    <row r="52" spans="1:12" x14ac:dyDescent="0.25">
      <c r="A52" s="47"/>
      <c r="B52" s="47"/>
      <c r="C52" s="47"/>
      <c r="D52" s="47"/>
      <c r="E52" s="47"/>
      <c r="F52" s="47"/>
      <c r="G52" s="50"/>
      <c r="H52" s="50"/>
      <c r="I52" s="50"/>
      <c r="J52" s="50"/>
      <c r="K52" s="50"/>
      <c r="L52" s="50"/>
    </row>
    <row r="53" spans="1:12" x14ac:dyDescent="0.25">
      <c r="A53" s="118" t="s">
        <v>129</v>
      </c>
      <c r="B53" s="118"/>
      <c r="C53" s="118"/>
      <c r="D53" s="118"/>
      <c r="E53" s="118"/>
      <c r="F53" s="118"/>
      <c r="G53" s="50"/>
      <c r="H53" s="50"/>
      <c r="I53" s="50"/>
      <c r="J53" s="50"/>
      <c r="K53" s="50"/>
      <c r="L53" s="50"/>
    </row>
    <row r="54" spans="1:12" x14ac:dyDescent="0.25">
      <c r="A54" s="61" t="s">
        <v>4</v>
      </c>
      <c r="B54" s="61" t="s">
        <v>5</v>
      </c>
      <c r="C54" s="61" t="s">
        <v>6</v>
      </c>
      <c r="D54" s="61" t="s">
        <v>7</v>
      </c>
      <c r="E54" s="62"/>
      <c r="F54" s="62"/>
      <c r="G54" s="50"/>
      <c r="H54" s="50"/>
      <c r="I54" s="50"/>
      <c r="J54" s="50"/>
      <c r="K54" s="50"/>
      <c r="L54" s="50"/>
    </row>
    <row r="55" spans="1:12" x14ac:dyDescent="0.25">
      <c r="A55" s="47" t="s">
        <v>130</v>
      </c>
      <c r="B55" s="61" t="s">
        <v>131</v>
      </c>
      <c r="C55" s="64" t="s">
        <v>132</v>
      </c>
      <c r="D55" s="64">
        <v>1.8200000000000001E-2</v>
      </c>
      <c r="E55" s="64"/>
      <c r="F55" s="64"/>
      <c r="G55" s="50"/>
      <c r="H55" s="50"/>
      <c r="I55" s="50"/>
      <c r="J55" s="50"/>
      <c r="K55" s="50"/>
      <c r="L55" s="50"/>
    </row>
    <row r="56" spans="1:12" x14ac:dyDescent="0.25">
      <c r="A56" s="47" t="s">
        <v>133</v>
      </c>
      <c r="B56" s="61" t="s">
        <v>131</v>
      </c>
      <c r="C56" s="64" t="s">
        <v>134</v>
      </c>
      <c r="D56" s="64">
        <v>1.8200000000000001E-2</v>
      </c>
      <c r="E56" s="64"/>
      <c r="F56" s="64"/>
      <c r="G56" s="50"/>
      <c r="H56" s="50"/>
      <c r="I56" s="50"/>
      <c r="J56" s="50"/>
      <c r="K56" s="50"/>
      <c r="L56" s="50"/>
    </row>
    <row r="57" spans="1:12" x14ac:dyDescent="0.25">
      <c r="A57" s="47" t="s">
        <v>135</v>
      </c>
      <c r="B57" s="61" t="s">
        <v>131</v>
      </c>
      <c r="C57" s="64" t="s">
        <v>136</v>
      </c>
      <c r="D57" s="64">
        <v>1.8360000000000001E-2</v>
      </c>
      <c r="E57" s="64"/>
      <c r="F57" s="64"/>
      <c r="G57" s="50"/>
      <c r="H57" s="50"/>
      <c r="I57" s="50"/>
      <c r="J57" s="50"/>
      <c r="K57" s="50"/>
      <c r="L57" s="50"/>
    </row>
    <row r="58" spans="1:12" x14ac:dyDescent="0.25">
      <c r="A58" s="47" t="s">
        <v>120</v>
      </c>
      <c r="B58" s="64" t="s">
        <v>23</v>
      </c>
      <c r="C58" s="64" t="s">
        <v>137</v>
      </c>
      <c r="D58" s="64">
        <v>0.3</v>
      </c>
      <c r="E58" s="64"/>
      <c r="F58" s="64"/>
      <c r="G58" s="50"/>
      <c r="H58" s="50"/>
      <c r="I58" s="50"/>
      <c r="J58" s="50"/>
      <c r="K58" s="50"/>
      <c r="L58" s="50"/>
    </row>
    <row r="59" spans="1:12" x14ac:dyDescent="0.25">
      <c r="A59" s="47" t="s">
        <v>138</v>
      </c>
      <c r="B59" s="64" t="s">
        <v>15</v>
      </c>
      <c r="C59" s="64" t="s">
        <v>126</v>
      </c>
      <c r="D59" s="64">
        <v>10</v>
      </c>
      <c r="E59" s="47"/>
      <c r="F59" s="47"/>
      <c r="G59" s="50"/>
      <c r="H59" s="50"/>
      <c r="I59" s="50"/>
      <c r="J59" s="50"/>
      <c r="K59" s="50"/>
      <c r="L59" s="50"/>
    </row>
    <row r="60" spans="1:12" x14ac:dyDescent="0.25">
      <c r="A60" s="47" t="s">
        <v>139</v>
      </c>
      <c r="B60" s="47"/>
      <c r="C60" s="47"/>
      <c r="D60" s="47"/>
      <c r="E60" s="47"/>
      <c r="F60" s="47"/>
      <c r="G60" s="50"/>
      <c r="H60" s="50"/>
      <c r="I60" s="50"/>
      <c r="J60" s="50"/>
      <c r="K60" s="50"/>
      <c r="L60" s="50"/>
    </row>
  </sheetData>
  <mergeCells count="9">
    <mergeCell ref="I2:N2"/>
    <mergeCell ref="A35:F35"/>
    <mergeCell ref="A46:F46"/>
    <mergeCell ref="A53:F53"/>
    <mergeCell ref="A3:F3"/>
    <mergeCell ref="A14:F14"/>
    <mergeCell ref="A22:E22"/>
    <mergeCell ref="A23:E23"/>
    <mergeCell ref="A13:E1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"/>
  <sheetViews>
    <sheetView workbookViewId="0">
      <selection activeCell="B4" sqref="B4:B9"/>
    </sheetView>
  </sheetViews>
  <sheetFormatPr defaultRowHeight="15" x14ac:dyDescent="0.25"/>
  <cols>
    <col min="1" max="1" width="65.42578125" customWidth="1"/>
    <col min="2" max="2" width="17.140625" customWidth="1"/>
    <col min="5" max="5" width="13.140625" customWidth="1"/>
    <col min="10" max="10" width="14.140625" customWidth="1"/>
  </cols>
  <sheetData>
    <row r="1" spans="1:10" ht="26.25" customHeight="1" x14ac:dyDescent="0.25">
      <c r="A1" s="12" t="s">
        <v>19</v>
      </c>
    </row>
    <row r="3" spans="1:10" ht="15.75" x14ac:dyDescent="0.25">
      <c r="A3" s="13" t="s">
        <v>28</v>
      </c>
      <c r="B3" s="13" t="s">
        <v>9</v>
      </c>
      <c r="E3" s="17" t="s">
        <v>34</v>
      </c>
      <c r="F3" s="16" t="s">
        <v>35</v>
      </c>
      <c r="G3" s="16"/>
      <c r="H3" s="16"/>
      <c r="J3" s="17"/>
    </row>
    <row r="4" spans="1:10" ht="15.75" x14ac:dyDescent="0.25">
      <c r="A4" s="14" t="s">
        <v>29</v>
      </c>
      <c r="B4" s="71">
        <f>'Матеріали НПФ'!F13</f>
        <v>328.91000000000008</v>
      </c>
      <c r="E4" s="36">
        <f>ЗАВДАННЯ!C3</f>
        <v>0.12</v>
      </c>
    </row>
    <row r="5" spans="1:10" ht="15.75" x14ac:dyDescent="0.25">
      <c r="A5" s="14" t="s">
        <v>30</v>
      </c>
      <c r="B5" s="71">
        <f>'Матеріали НПФ'!F22</f>
        <v>3.71</v>
      </c>
      <c r="E5" s="23" t="s">
        <v>33</v>
      </c>
      <c r="F5" s="127" t="s">
        <v>36</v>
      </c>
      <c r="G5" s="127"/>
      <c r="H5" s="127"/>
      <c r="I5" s="127"/>
    </row>
    <row r="6" spans="1:10" ht="15.75" x14ac:dyDescent="0.25">
      <c r="A6" s="15" t="s">
        <v>31</v>
      </c>
      <c r="B6" s="71">
        <f>SUM(B4:B5)</f>
        <v>332.62000000000006</v>
      </c>
      <c r="E6" s="23">
        <f>ЗАВДАННЯ!C4</f>
        <v>2.1000000000000001E-2</v>
      </c>
      <c r="J6" s="23"/>
    </row>
    <row r="7" spans="1:10" ht="15.75" x14ac:dyDescent="0.25">
      <c r="A7" s="14" t="s">
        <v>52</v>
      </c>
      <c r="B7" s="29">
        <f>ROUND(B6*E4,2)</f>
        <v>39.909999999999997</v>
      </c>
    </row>
    <row r="8" spans="1:10" ht="15.75" x14ac:dyDescent="0.25">
      <c r="A8" s="14" t="s">
        <v>53</v>
      </c>
      <c r="B8" s="29">
        <f>ROUND(B4*E6,2)</f>
        <v>6.91</v>
      </c>
    </row>
    <row r="9" spans="1:10" ht="15.75" x14ac:dyDescent="0.25">
      <c r="A9" s="15" t="s">
        <v>32</v>
      </c>
      <c r="B9" s="71">
        <f>SUM(B6+B7-B8)</f>
        <v>365.62000000000006</v>
      </c>
    </row>
  </sheetData>
  <mergeCells count="1">
    <mergeCell ref="F5:I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0"/>
  <sheetViews>
    <sheetView tabSelected="1" workbookViewId="0">
      <selection activeCell="A17" sqref="A17"/>
    </sheetView>
  </sheetViews>
  <sheetFormatPr defaultRowHeight="15" x14ac:dyDescent="0.25"/>
  <cols>
    <col min="1" max="1" width="18.85546875" customWidth="1"/>
    <col min="2" max="2" width="21.42578125" customWidth="1"/>
    <col min="3" max="3" width="24.85546875" customWidth="1"/>
    <col min="4" max="4" width="11.85546875" customWidth="1"/>
    <col min="6" max="6" width="13.42578125" customWidth="1"/>
  </cols>
  <sheetData>
    <row r="1" spans="1:12" ht="15.75" x14ac:dyDescent="0.25">
      <c r="A1" s="128" t="s">
        <v>54</v>
      </c>
      <c r="B1" s="128"/>
      <c r="C1" s="128"/>
      <c r="D1" s="128"/>
      <c r="E1" s="128"/>
      <c r="F1" s="128"/>
      <c r="G1" s="128"/>
    </row>
    <row r="3" spans="1:12" x14ac:dyDescent="0.25">
      <c r="A3" s="25" t="s">
        <v>140</v>
      </c>
      <c r="B3" s="1"/>
      <c r="C3" s="1"/>
      <c r="D3" s="1"/>
      <c r="E3" s="1"/>
    </row>
    <row r="4" spans="1:12" x14ac:dyDescent="0.25">
      <c r="A4" s="26">
        <v>120.55200000000001</v>
      </c>
      <c r="B4" s="27" t="s">
        <v>151</v>
      </c>
      <c r="C4" s="96">
        <f>ROUND(E11*E10,2)</f>
        <v>3.16</v>
      </c>
      <c r="D4" s="1"/>
      <c r="E4" s="1"/>
    </row>
    <row r="6" spans="1:12" x14ac:dyDescent="0.25">
      <c r="A6" s="129" t="s">
        <v>55</v>
      </c>
      <c r="B6" s="129"/>
      <c r="C6" s="129"/>
    </row>
    <row r="7" spans="1:12" x14ac:dyDescent="0.25">
      <c r="A7" s="24" t="s">
        <v>56</v>
      </c>
      <c r="B7" s="24" t="s">
        <v>57</v>
      </c>
      <c r="C7" s="24" t="s">
        <v>58</v>
      </c>
      <c r="I7" s="89"/>
      <c r="J7" s="89"/>
      <c r="K7" s="89"/>
      <c r="L7" s="89"/>
    </row>
    <row r="8" spans="1:12" x14ac:dyDescent="0.25">
      <c r="A8" s="11" t="s">
        <v>59</v>
      </c>
      <c r="B8" s="28" t="s">
        <v>60</v>
      </c>
      <c r="C8" s="11" t="s">
        <v>61</v>
      </c>
      <c r="I8" s="89"/>
      <c r="J8" s="89"/>
      <c r="K8" s="89"/>
      <c r="L8" s="89"/>
    </row>
    <row r="9" spans="1:12" x14ac:dyDescent="0.25">
      <c r="I9" s="89"/>
      <c r="J9" s="89"/>
      <c r="K9" s="89"/>
      <c r="L9" s="89"/>
    </row>
    <row r="10" spans="1:12" x14ac:dyDescent="0.25">
      <c r="A10" s="93"/>
      <c r="C10" s="1" t="s">
        <v>62</v>
      </c>
      <c r="D10" s="1"/>
      <c r="E10" s="73">
        <f>B20</f>
        <v>2.1399999999999999E-2</v>
      </c>
      <c r="F10" s="92" t="s">
        <v>63</v>
      </c>
    </row>
    <row r="11" spans="1:12" x14ac:dyDescent="0.25">
      <c r="C11" s="1" t="s">
        <v>154</v>
      </c>
      <c r="D11" s="1"/>
      <c r="E11" s="74">
        <v>147.876</v>
      </c>
      <c r="F11" s="75" t="s">
        <v>153</v>
      </c>
    </row>
    <row r="14" spans="1:12" x14ac:dyDescent="0.25">
      <c r="A14" s="130" t="s">
        <v>177</v>
      </c>
      <c r="B14" s="130"/>
      <c r="C14" s="130"/>
      <c r="D14" s="130"/>
    </row>
    <row r="15" spans="1:12" x14ac:dyDescent="0.25">
      <c r="A15" s="130"/>
      <c r="B15" s="130"/>
      <c r="C15" s="130"/>
      <c r="D15" s="130"/>
    </row>
    <row r="16" spans="1:12" x14ac:dyDescent="0.25">
      <c r="A16" s="130"/>
      <c r="B16" s="130"/>
      <c r="C16" s="130"/>
      <c r="D16" s="130"/>
    </row>
    <row r="18" spans="1:2" x14ac:dyDescent="0.25">
      <c r="A18" s="131" t="s">
        <v>149</v>
      </c>
      <c r="B18" s="131"/>
    </row>
    <row r="19" spans="1:2" x14ac:dyDescent="0.25">
      <c r="A19" s="90" t="s">
        <v>150</v>
      </c>
      <c r="B19" s="90" t="s">
        <v>152</v>
      </c>
    </row>
    <row r="20" spans="1:2" x14ac:dyDescent="0.25">
      <c r="A20" s="169">
        <v>21.35</v>
      </c>
      <c r="B20" s="91">
        <f>ROUND(A20/1000,4)</f>
        <v>2.1399999999999999E-2</v>
      </c>
    </row>
  </sheetData>
  <mergeCells count="4">
    <mergeCell ref="A1:G1"/>
    <mergeCell ref="A6:C6"/>
    <mergeCell ref="A14:D16"/>
    <mergeCell ref="A18:B18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3"/>
  <sheetViews>
    <sheetView workbookViewId="0">
      <selection activeCell="H4" sqref="H4"/>
    </sheetView>
  </sheetViews>
  <sheetFormatPr defaultRowHeight="15" x14ac:dyDescent="0.25"/>
  <cols>
    <col min="1" max="1" width="30.28515625" customWidth="1"/>
    <col min="2" max="2" width="26.42578125" customWidth="1"/>
    <col min="4" max="4" width="18.7109375" customWidth="1"/>
    <col min="5" max="5" width="18.42578125" customWidth="1"/>
    <col min="10" max="10" width="16.85546875" customWidth="1"/>
  </cols>
  <sheetData>
    <row r="1" spans="1:14" ht="28.5" customHeight="1" x14ac:dyDescent="0.25">
      <c r="A1" s="132" t="s">
        <v>64</v>
      </c>
      <c r="B1" s="132"/>
      <c r="C1" s="132"/>
      <c r="D1" s="132"/>
      <c r="E1" s="132"/>
      <c r="F1" s="132"/>
      <c r="G1" s="132"/>
      <c r="H1" s="132"/>
    </row>
    <row r="2" spans="1:14" x14ac:dyDescent="0.25">
      <c r="A2" s="114" t="s">
        <v>22</v>
      </c>
      <c r="B2" s="115" t="s">
        <v>2</v>
      </c>
      <c r="C2" s="129" t="s">
        <v>65</v>
      </c>
      <c r="D2" s="133" t="s">
        <v>66</v>
      </c>
      <c r="E2" s="129" t="s">
        <v>9</v>
      </c>
      <c r="I2" s="136"/>
      <c r="J2" s="136"/>
      <c r="K2" s="136"/>
      <c r="L2" s="136"/>
      <c r="M2" s="136"/>
      <c r="N2" s="136"/>
    </row>
    <row r="3" spans="1:14" x14ac:dyDescent="0.25">
      <c r="A3" s="114"/>
      <c r="B3" s="115"/>
      <c r="C3" s="129"/>
      <c r="D3" s="133"/>
      <c r="E3" s="129"/>
      <c r="I3" s="30"/>
      <c r="J3" s="30"/>
      <c r="K3" s="30"/>
      <c r="L3" s="30"/>
      <c r="M3" s="30"/>
      <c r="N3" s="30"/>
    </row>
    <row r="4" spans="1:14" ht="15.75" x14ac:dyDescent="0.25">
      <c r="A4" s="6" t="str">
        <f>Трудомісткість!A4</f>
        <v>005 Заготівельна</v>
      </c>
      <c r="B4" s="2">
        <f>Трудомісткість!B4</f>
        <v>0.22886000000000001</v>
      </c>
      <c r="C4" s="170">
        <v>3</v>
      </c>
      <c r="D4" s="98">
        <v>47.97</v>
      </c>
      <c r="E4" s="72">
        <f>ROUND(B4*D4,4)</f>
        <v>10.978400000000001</v>
      </c>
      <c r="I4" s="31"/>
      <c r="J4" s="31"/>
      <c r="K4" s="31"/>
      <c r="L4" s="31"/>
      <c r="M4" s="31"/>
      <c r="N4" s="31"/>
    </row>
    <row r="5" spans="1:14" ht="15.75" x14ac:dyDescent="0.25">
      <c r="A5" s="6" t="str">
        <f>Трудомісткість!A5</f>
        <v>010 Контрольна</v>
      </c>
      <c r="B5" s="95">
        <f>Трудомісткість!B5</f>
        <v>0.2266</v>
      </c>
      <c r="C5" s="170">
        <v>2</v>
      </c>
      <c r="D5" s="98">
        <v>44.98</v>
      </c>
      <c r="E5" s="72">
        <f t="shared" ref="E5:E15" si="0">ROUND(B5*D5,4)</f>
        <v>10.192500000000001</v>
      </c>
    </row>
    <row r="6" spans="1:14" ht="15.75" x14ac:dyDescent="0.25">
      <c r="A6" s="6" t="str">
        <f>Трудомісткість!A6</f>
        <v>015 Отримання заготівок</v>
      </c>
      <c r="B6" s="95">
        <f>Трудомісткість!B6</f>
        <v>0.309</v>
      </c>
      <c r="C6" s="170">
        <v>3</v>
      </c>
      <c r="D6" s="98">
        <v>47.97</v>
      </c>
      <c r="E6" s="72">
        <f t="shared" si="0"/>
        <v>14.822699999999999</v>
      </c>
    </row>
    <row r="7" spans="1:14" ht="15.75" x14ac:dyDescent="0.25">
      <c r="A7" s="6" t="str">
        <f>Трудомісткість!A7</f>
        <v>020 Свердлування</v>
      </c>
      <c r="B7" s="95">
        <f>Трудомісткість!B7</f>
        <v>0.14419999999999999</v>
      </c>
      <c r="C7" s="170">
        <v>3</v>
      </c>
      <c r="D7" s="98">
        <v>47.97</v>
      </c>
      <c r="E7" s="72">
        <f t="shared" si="0"/>
        <v>6.9173</v>
      </c>
      <c r="H7" s="50"/>
    </row>
    <row r="8" spans="1:14" ht="15.75" x14ac:dyDescent="0.25">
      <c r="A8" s="6" t="str">
        <f>Трудомісткість!A8</f>
        <v>025 Контрольна</v>
      </c>
      <c r="B8" s="95">
        <f>Трудомісткість!B8</f>
        <v>0.20805999999999999</v>
      </c>
      <c r="C8" s="170">
        <v>2</v>
      </c>
      <c r="D8" s="98">
        <v>44.98</v>
      </c>
      <c r="E8" s="72">
        <f t="shared" si="0"/>
        <v>9.3584999999999994</v>
      </c>
      <c r="H8" s="50"/>
    </row>
    <row r="9" spans="1:14" ht="15.75" x14ac:dyDescent="0.25">
      <c r="A9" s="6" t="str">
        <f>Трудомісткість!A9</f>
        <v>030 Підготовка поверхні</v>
      </c>
      <c r="B9" s="95">
        <f>Трудомісткість!B9</f>
        <v>0.81369999999999998</v>
      </c>
      <c r="C9" s="170">
        <v>4</v>
      </c>
      <c r="D9" s="98">
        <v>50.94</v>
      </c>
      <c r="E9" s="72">
        <f t="shared" si="0"/>
        <v>41.4499</v>
      </c>
      <c r="H9" s="50"/>
    </row>
    <row r="10" spans="1:14" ht="15.75" x14ac:dyDescent="0.25">
      <c r="A10" s="6" t="str">
        <f>Трудомісткість!A10</f>
        <v>035 Нанесення рисунку</v>
      </c>
      <c r="B10" s="95">
        <f>Трудомісткість!B10</f>
        <v>0.35020000000000001</v>
      </c>
      <c r="C10" s="170">
        <v>5</v>
      </c>
      <c r="D10" s="98">
        <v>57.23</v>
      </c>
      <c r="E10" s="72">
        <f t="shared" si="0"/>
        <v>20.041899999999998</v>
      </c>
      <c r="H10" s="50"/>
      <c r="I10" s="30"/>
      <c r="J10" s="30"/>
    </row>
    <row r="11" spans="1:14" ht="15.75" x14ac:dyDescent="0.25">
      <c r="A11" s="6" t="str">
        <f>Трудомісткість!A11</f>
        <v>040 Проявлення рисунку</v>
      </c>
      <c r="B11" s="95">
        <f>Трудомісткість!B11</f>
        <v>0.11124000000000001</v>
      </c>
      <c r="C11" s="170">
        <v>3</v>
      </c>
      <c r="D11" s="98">
        <v>47.97</v>
      </c>
      <c r="E11" s="72">
        <f t="shared" si="0"/>
        <v>5.3361999999999998</v>
      </c>
      <c r="H11" s="50"/>
      <c r="I11" s="30"/>
      <c r="J11" s="30"/>
    </row>
    <row r="12" spans="1:14" ht="15.75" x14ac:dyDescent="0.25">
      <c r="A12" s="6" t="str">
        <f>Трудомісткість!A12</f>
        <v>045 Хімічне травлення</v>
      </c>
      <c r="B12" s="95">
        <f>Трудомісткість!B12</f>
        <v>2.1629999999999998</v>
      </c>
      <c r="C12" s="170">
        <v>4</v>
      </c>
      <c r="D12" s="98">
        <v>50.94</v>
      </c>
      <c r="E12" s="72">
        <f t="shared" si="0"/>
        <v>110.1832</v>
      </c>
      <c r="H12" s="50"/>
      <c r="I12" s="30"/>
      <c r="J12" s="30"/>
    </row>
    <row r="13" spans="1:14" ht="15.75" x14ac:dyDescent="0.25">
      <c r="A13" s="6" t="str">
        <f>Трудомісткість!A13</f>
        <v>050 Контрольна</v>
      </c>
      <c r="B13" s="95">
        <f>Трудомісткість!B13</f>
        <v>0.19570000000000001</v>
      </c>
      <c r="C13" s="170">
        <v>2</v>
      </c>
      <c r="D13" s="98">
        <v>44.98</v>
      </c>
      <c r="E13" s="72">
        <f t="shared" si="0"/>
        <v>8.8026</v>
      </c>
      <c r="H13" s="50"/>
      <c r="I13" s="30"/>
      <c r="J13" s="30"/>
    </row>
    <row r="14" spans="1:14" ht="15.75" x14ac:dyDescent="0.25">
      <c r="A14" s="6" t="str">
        <f>Трудомісткість!A14</f>
        <v>055 Обробка контура друкованої плати</v>
      </c>
      <c r="B14" s="95">
        <f>Трудомісткість!B14</f>
        <v>0.32754</v>
      </c>
      <c r="C14" s="170">
        <v>4</v>
      </c>
      <c r="D14" s="98">
        <v>50.94</v>
      </c>
      <c r="E14" s="72">
        <f t="shared" si="0"/>
        <v>16.684899999999999</v>
      </c>
      <c r="H14" s="50"/>
      <c r="I14" s="30"/>
      <c r="J14" s="30"/>
    </row>
    <row r="15" spans="1:14" ht="15.75" x14ac:dyDescent="0.25">
      <c r="A15" s="6" t="str">
        <f>Трудомісткість!A15</f>
        <v>060 Контрольна</v>
      </c>
      <c r="B15" s="95">
        <f>Трудомісткість!B15</f>
        <v>0.26779999999999998</v>
      </c>
      <c r="C15" s="170">
        <v>2</v>
      </c>
      <c r="D15" s="98">
        <v>44.98</v>
      </c>
      <c r="E15" s="72">
        <f t="shared" si="0"/>
        <v>12.0456</v>
      </c>
      <c r="H15" s="50"/>
      <c r="I15" s="30"/>
      <c r="J15" s="30"/>
    </row>
    <row r="16" spans="1:14" x14ac:dyDescent="0.25">
      <c r="A16" s="134" t="s">
        <v>31</v>
      </c>
      <c r="B16" s="134"/>
      <c r="C16" s="134"/>
      <c r="D16" s="134"/>
      <c r="E16" s="78">
        <f>SUM(E4:E15)</f>
        <v>266.81369999999998</v>
      </c>
    </row>
    <row r="17" spans="1:8" x14ac:dyDescent="0.25">
      <c r="A17" s="134" t="s">
        <v>68</v>
      </c>
      <c r="B17" s="134"/>
      <c r="C17" s="134"/>
      <c r="D17" s="134"/>
      <c r="E17" s="38">
        <f>E16</f>
        <v>266.81369999999998</v>
      </c>
      <c r="G17" s="37" t="s">
        <v>142</v>
      </c>
      <c r="H17" s="70">
        <f>ЗАВДАННЯ!C5</f>
        <v>0.17</v>
      </c>
    </row>
    <row r="18" spans="1:8" x14ac:dyDescent="0.25">
      <c r="A18" s="135" t="s">
        <v>70</v>
      </c>
      <c r="B18" s="135"/>
      <c r="C18" s="135"/>
      <c r="D18" s="135"/>
      <c r="E18" s="38">
        <f>ROUND(E17*H17,2)</f>
        <v>45.36</v>
      </c>
    </row>
    <row r="19" spans="1:8" x14ac:dyDescent="0.25">
      <c r="A19" s="134" t="s">
        <v>69</v>
      </c>
      <c r="B19" s="134"/>
      <c r="C19" s="134"/>
      <c r="D19" s="134"/>
      <c r="E19" s="39">
        <f>E17+E18</f>
        <v>312.1737</v>
      </c>
    </row>
    <row r="23" spans="1:8" ht="33.75" customHeight="1" x14ac:dyDescent="0.25">
      <c r="C23" s="77"/>
    </row>
  </sheetData>
  <mergeCells count="11">
    <mergeCell ref="A16:D16"/>
    <mergeCell ref="A17:D17"/>
    <mergeCell ref="A18:D18"/>
    <mergeCell ref="A19:D19"/>
    <mergeCell ref="I2:N2"/>
    <mergeCell ref="A1:H1"/>
    <mergeCell ref="A2:A3"/>
    <mergeCell ref="B2:B3"/>
    <mergeCell ref="C2:C3"/>
    <mergeCell ref="D2:D3"/>
    <mergeCell ref="E2:E3"/>
  </mergeCells>
  <dataValidations count="1">
    <dataValidation type="list" allowBlank="1" showInputMessage="1" showErrorMessage="1" sqref="C4:C15" xr:uid="{00000000-0002-0000-0500-000000000000}">
      <formula1>розряд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"/>
  <sheetViews>
    <sheetView workbookViewId="0">
      <selection activeCell="I17" sqref="I17"/>
    </sheetView>
  </sheetViews>
  <sheetFormatPr defaultRowHeight="15" x14ac:dyDescent="0.25"/>
  <sheetData>
    <row r="1" spans="1:8" x14ac:dyDescent="0.25">
      <c r="A1" s="1"/>
      <c r="B1" s="1"/>
      <c r="C1" s="1"/>
      <c r="D1" s="1"/>
      <c r="E1" s="1"/>
      <c r="F1" s="1"/>
    </row>
    <row r="2" spans="1:8" x14ac:dyDescent="0.25">
      <c r="A2" s="137" t="s">
        <v>71</v>
      </c>
      <c r="B2" s="137"/>
      <c r="C2" s="137"/>
      <c r="D2" s="137"/>
      <c r="E2" s="137"/>
      <c r="F2" s="76">
        <f>ЗАВДАННЯ!C6</f>
        <v>0.23</v>
      </c>
      <c r="H2" s="79">
        <f>Осн.зарплата!E19</f>
        <v>312.1737</v>
      </c>
    </row>
    <row r="3" spans="1:8" x14ac:dyDescent="0.25">
      <c r="A3" s="41"/>
      <c r="B3" s="41"/>
      <c r="C3" s="41"/>
      <c r="D3" s="41"/>
      <c r="E3" s="41"/>
      <c r="F3" s="70"/>
    </row>
    <row r="4" spans="1:8" x14ac:dyDescent="0.25">
      <c r="A4" s="137" t="s">
        <v>72</v>
      </c>
      <c r="B4" s="137"/>
      <c r="C4" s="137"/>
      <c r="D4" s="137"/>
      <c r="E4" s="137"/>
      <c r="F4" s="80">
        <f>ROUND(H2*F2,2)</f>
        <v>71.8</v>
      </c>
    </row>
    <row r="5" spans="1:8" x14ac:dyDescent="0.25">
      <c r="A5" s="1"/>
      <c r="B5" s="1"/>
      <c r="C5" s="1"/>
      <c r="D5" s="1"/>
      <c r="E5" s="1"/>
      <c r="F5" s="1"/>
    </row>
    <row r="6" spans="1:8" x14ac:dyDescent="0.25">
      <c r="A6" s="137" t="s">
        <v>73</v>
      </c>
      <c r="B6" s="137"/>
      <c r="C6" s="137"/>
      <c r="D6" s="137"/>
      <c r="E6" s="137"/>
      <c r="F6" s="76">
        <f>ЗАВДАННЯ!C7</f>
        <v>0.22</v>
      </c>
      <c r="H6" s="81">
        <f>H2+F4</f>
        <v>383.97370000000001</v>
      </c>
    </row>
    <row r="7" spans="1:8" x14ac:dyDescent="0.25">
      <c r="A7" s="41"/>
      <c r="B7" s="41"/>
      <c r="C7" s="41"/>
      <c r="D7" s="41"/>
      <c r="E7" s="41"/>
      <c r="F7" s="1"/>
    </row>
    <row r="8" spans="1:8" x14ac:dyDescent="0.25">
      <c r="A8" s="137" t="s">
        <v>74</v>
      </c>
      <c r="B8" s="137"/>
      <c r="C8" s="137"/>
      <c r="D8" s="137"/>
      <c r="E8" s="137"/>
      <c r="F8" s="80">
        <f>ROUND(H6*F6,2)</f>
        <v>84.47</v>
      </c>
    </row>
    <row r="9" spans="1:8" x14ac:dyDescent="0.25">
      <c r="A9" s="40"/>
      <c r="B9" s="40"/>
      <c r="C9" s="40"/>
      <c r="D9" s="40"/>
      <c r="E9" s="40"/>
    </row>
    <row r="10" spans="1:8" x14ac:dyDescent="0.25">
      <c r="A10" s="40"/>
      <c r="B10" s="40"/>
      <c r="C10" s="40"/>
      <c r="D10" s="40"/>
      <c r="E10" s="40"/>
    </row>
    <row r="11" spans="1:8" x14ac:dyDescent="0.25">
      <c r="A11" s="40"/>
      <c r="C11" s="40"/>
      <c r="D11" s="40"/>
      <c r="E11" s="40"/>
    </row>
  </sheetData>
  <mergeCells count="4">
    <mergeCell ref="A2:E2"/>
    <mergeCell ref="A4:E4"/>
    <mergeCell ref="A6:E6"/>
    <mergeCell ref="A8:E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F18"/>
  <sheetViews>
    <sheetView workbookViewId="0">
      <selection activeCell="F19" sqref="F19"/>
    </sheetView>
  </sheetViews>
  <sheetFormatPr defaultRowHeight="15" x14ac:dyDescent="0.25"/>
  <sheetData>
    <row r="2" spans="1:6" x14ac:dyDescent="0.25">
      <c r="A2" s="138" t="s">
        <v>75</v>
      </c>
      <c r="B2" s="138"/>
      <c r="C2" s="138"/>
      <c r="D2" s="138"/>
      <c r="E2" s="138"/>
      <c r="F2" s="33">
        <f>ЗАВДАННЯ!C8</f>
        <v>0.91</v>
      </c>
    </row>
    <row r="3" spans="1:6" x14ac:dyDescent="0.25">
      <c r="A3" s="11"/>
      <c r="B3" s="11"/>
      <c r="C3" s="11"/>
      <c r="D3" s="11"/>
      <c r="E3" s="11"/>
      <c r="F3" s="4"/>
    </row>
    <row r="4" spans="1:6" x14ac:dyDescent="0.25">
      <c r="A4" s="139" t="s">
        <v>76</v>
      </c>
      <c r="B4" s="139"/>
      <c r="C4" s="139"/>
      <c r="D4" s="139"/>
      <c r="E4" s="139"/>
      <c r="F4" s="35">
        <f>ROUND(C18*F2,2)</f>
        <v>0</v>
      </c>
    </row>
    <row r="5" spans="1:6" x14ac:dyDescent="0.25">
      <c r="A5" s="11"/>
      <c r="B5" s="11"/>
      <c r="C5" s="11"/>
      <c r="D5" s="11"/>
      <c r="E5" s="11"/>
      <c r="F5" s="4"/>
    </row>
    <row r="6" spans="1:6" x14ac:dyDescent="0.25">
      <c r="A6" s="42" t="s">
        <v>77</v>
      </c>
      <c r="B6" s="43"/>
      <c r="C6" s="44"/>
      <c r="D6" s="44"/>
      <c r="E6" s="45"/>
      <c r="F6" s="33">
        <f>ЗАВДАННЯ!C9</f>
        <v>0.52</v>
      </c>
    </row>
    <row r="7" spans="1:6" x14ac:dyDescent="0.25">
      <c r="A7" s="11"/>
      <c r="B7" s="11"/>
      <c r="C7" s="11"/>
      <c r="D7" s="11"/>
      <c r="E7" s="11"/>
      <c r="F7" s="4"/>
    </row>
    <row r="8" spans="1:6" x14ac:dyDescent="0.25">
      <c r="A8" s="139" t="s">
        <v>78</v>
      </c>
      <c r="B8" s="139"/>
      <c r="C8" s="139"/>
      <c r="D8" s="139"/>
      <c r="E8" s="139"/>
      <c r="F8" s="35">
        <f>ROUND(C18*F6,2)</f>
        <v>0</v>
      </c>
    </row>
    <row r="9" spans="1:6" x14ac:dyDescent="0.25">
      <c r="A9" s="11"/>
      <c r="B9" s="11"/>
      <c r="C9" s="11"/>
      <c r="D9" s="11"/>
      <c r="E9" s="11"/>
      <c r="F9" s="4"/>
    </row>
    <row r="10" spans="1:6" x14ac:dyDescent="0.25">
      <c r="A10" s="140" t="s">
        <v>79</v>
      </c>
      <c r="B10" s="141"/>
      <c r="C10" s="141"/>
      <c r="D10" s="141"/>
      <c r="E10" s="142"/>
      <c r="F10" s="33">
        <f>ЗАВДАННЯ!C10</f>
        <v>0.54</v>
      </c>
    </row>
    <row r="11" spans="1:6" x14ac:dyDescent="0.25">
      <c r="A11" s="11"/>
      <c r="B11" s="11"/>
      <c r="C11" s="11"/>
      <c r="D11" s="11"/>
      <c r="E11" s="11"/>
      <c r="F11" s="4"/>
    </row>
    <row r="12" spans="1:6" x14ac:dyDescent="0.25">
      <c r="A12" s="139" t="s">
        <v>80</v>
      </c>
      <c r="B12" s="139"/>
      <c r="C12" s="139"/>
      <c r="D12" s="139"/>
      <c r="E12" s="139"/>
      <c r="F12" s="35">
        <f>ROUND(C18*F10,2)</f>
        <v>0</v>
      </c>
    </row>
    <row r="18" spans="3:3" x14ac:dyDescent="0.25">
      <c r="C18" s="79"/>
    </row>
  </sheetData>
  <mergeCells count="5">
    <mergeCell ref="A2:E2"/>
    <mergeCell ref="A4:E4"/>
    <mergeCell ref="A8:E8"/>
    <mergeCell ref="A12:E12"/>
    <mergeCell ref="A10:E1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N11"/>
  <sheetViews>
    <sheetView workbookViewId="0">
      <selection activeCell="D14" sqref="D14"/>
    </sheetView>
  </sheetViews>
  <sheetFormatPr defaultRowHeight="15" x14ac:dyDescent="0.25"/>
  <sheetData>
    <row r="3" spans="1:14" x14ac:dyDescent="0.25">
      <c r="A3" t="s">
        <v>81</v>
      </c>
    </row>
    <row r="6" spans="1:14" x14ac:dyDescent="0.25">
      <c r="A6" s="80">
        <f>'Т-ЗВ'!B9+Енергія!C4+Осн.зарплата!E19+Дод.зарплата_Соц.страх!F4+Дод.зарплата_Соц.страх!F8+ВУЕО_ЗВВ_ЗГВ!F4+ВУЕО_ЗВВ_ЗГВ!F8</f>
        <v>837.22370000000001</v>
      </c>
    </row>
    <row r="7" spans="1:14" x14ac:dyDescent="0.25">
      <c r="I7" s="42" t="s">
        <v>83</v>
      </c>
      <c r="J7" s="43"/>
      <c r="K7" s="44"/>
      <c r="L7" s="44"/>
      <c r="M7" s="45"/>
      <c r="N7" s="88">
        <f>ЗАВДАННЯ!C11</f>
        <v>2.3E-2</v>
      </c>
    </row>
    <row r="8" spans="1:14" x14ac:dyDescent="0.25">
      <c r="A8" t="s">
        <v>82</v>
      </c>
      <c r="I8" s="11"/>
      <c r="J8" s="11"/>
      <c r="K8" s="11"/>
      <c r="L8" s="11"/>
      <c r="M8" s="11"/>
      <c r="N8" s="4"/>
    </row>
    <row r="9" spans="1:14" x14ac:dyDescent="0.25">
      <c r="I9" s="139" t="s">
        <v>84</v>
      </c>
      <c r="J9" s="139"/>
      <c r="K9" s="139"/>
      <c r="L9" s="139"/>
      <c r="M9" s="139"/>
      <c r="N9" s="35">
        <f>ROUND(A6*N7,2)</f>
        <v>19.260000000000002</v>
      </c>
    </row>
    <row r="11" spans="1:14" ht="15.75" x14ac:dyDescent="0.25">
      <c r="A11" s="82">
        <f>A6+ВУЕО_ЗВВ_ЗГВ!F12+Собівартість!N9</f>
        <v>856.4837</v>
      </c>
    </row>
  </sheetData>
  <mergeCells count="1">
    <mergeCell ref="I9:M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13</vt:i4>
      </vt:variant>
      <vt:variant>
        <vt:lpstr>Іменовані діапазони</vt:lpstr>
      </vt:variant>
      <vt:variant>
        <vt:i4>3</vt:i4>
      </vt:variant>
    </vt:vector>
  </HeadingPairs>
  <TitlesOfParts>
    <vt:vector size="16" baseType="lpstr">
      <vt:lpstr>ЗАВДАННЯ</vt:lpstr>
      <vt:lpstr>Трудомісткість</vt:lpstr>
      <vt:lpstr>Матеріали НПФ</vt:lpstr>
      <vt:lpstr>Т-ЗВ</vt:lpstr>
      <vt:lpstr>Енергія</vt:lpstr>
      <vt:lpstr>Осн.зарплата</vt:lpstr>
      <vt:lpstr>Дод.зарплата_Соц.страх</vt:lpstr>
      <vt:lpstr>ВУЕО_ЗВВ_ЗГВ</vt:lpstr>
      <vt:lpstr>Собівартість</vt:lpstr>
      <vt:lpstr>Калькуляція</vt:lpstr>
      <vt:lpstr>Ціна</vt:lpstr>
      <vt:lpstr>ТП</vt:lpstr>
      <vt:lpstr>Прибуток</vt:lpstr>
      <vt:lpstr>ГТС</vt:lpstr>
      <vt:lpstr>назван</vt:lpstr>
      <vt:lpstr>розряд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Maryna Ivashchenko</cp:lastModifiedBy>
  <dcterms:created xsi:type="dcterms:W3CDTF">2017-02-25T15:11:03Z</dcterms:created>
  <dcterms:modified xsi:type="dcterms:W3CDTF">2020-02-21T16:26:32Z</dcterms:modified>
</cp:coreProperties>
</file>