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drawings/drawing2.xml" ContentType="application/vnd.openxmlformats-officedocument.drawing+xml"/>
  <Override PartName="/xl/embeddings/oleObject15.bin" ContentType="application/vnd.openxmlformats-officedocument.oleObject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6" windowHeight="11160" firstSheet="5" activeTab="6"/>
  </bookViews>
  <sheets>
    <sheet name="Розрахунки" sheetId="1" r:id="rId1"/>
    <sheet name="Розрахунок оптимальної подачі" sheetId="12" r:id="rId2"/>
    <sheet name="Результати" sheetId="2" r:id="rId3"/>
    <sheet name="Геометричні параметри" sheetId="13" r:id="rId4"/>
    <sheet name="Значення коефіцієнта Cv" sheetId="3" r:id="rId5"/>
    <sheet name="Значення коефіцієнта Ср " sheetId="7" r:id="rId6"/>
    <sheet name="Значення коефіцієнта Сн" sheetId="8" r:id="rId7"/>
    <sheet name="Паспортні дані верстатів" sheetId="11" r:id="rId8"/>
  </sheets>
  <calcPr calcId="162913"/>
</workbook>
</file>

<file path=xl/calcChain.xml><?xml version="1.0" encoding="utf-8"?>
<calcChain xmlns="http://schemas.openxmlformats.org/spreadsheetml/2006/main">
  <c r="C6" i="12" l="1"/>
  <c r="C7" i="12" l="1"/>
  <c r="C8" i="12"/>
  <c r="L14" i="12"/>
  <c r="L12" i="12"/>
  <c r="L11" i="12"/>
  <c r="B5" i="12" l="1"/>
  <c r="A5" i="12"/>
  <c r="C4" i="2"/>
  <c r="E8" i="12"/>
  <c r="E7" i="12"/>
  <c r="E5" i="12"/>
  <c r="E6" i="12"/>
  <c r="C85" i="1"/>
  <c r="C88" i="1"/>
  <c r="C39" i="1"/>
  <c r="C5" i="2" l="1"/>
  <c r="C86" i="1"/>
  <c r="C6" i="2" s="1"/>
  <c r="F5" i="12"/>
  <c r="A8" i="12"/>
  <c r="A7" i="12"/>
  <c r="A6" i="12"/>
  <c r="A9" i="2"/>
  <c r="A8" i="2"/>
  <c r="C7" i="2" l="1"/>
  <c r="C61" i="1"/>
  <c r="C53" i="1"/>
  <c r="C47" i="1"/>
  <c r="C43" i="1"/>
  <c r="C33" i="1"/>
  <c r="C28" i="1" s="1"/>
  <c r="C17" i="1"/>
  <c r="C12" i="1"/>
  <c r="C74" i="1" l="1"/>
  <c r="C6" i="1" s="1"/>
  <c r="C3" i="2"/>
  <c r="C48" i="1"/>
  <c r="C77" i="1" s="1"/>
  <c r="C79" i="1" s="1"/>
  <c r="C94" i="1"/>
  <c r="C96" i="1" s="1"/>
  <c r="C63" i="1"/>
  <c r="C46" i="1"/>
  <c r="C55" i="1"/>
  <c r="C51" i="1"/>
  <c r="C58" i="1"/>
  <c r="C21" i="1"/>
  <c r="C90" i="1"/>
  <c r="C92" i="1" s="1"/>
  <c r="C66" i="1"/>
  <c r="C100" i="1" l="1"/>
  <c r="C9" i="2" s="1"/>
  <c r="C14" i="1"/>
  <c r="C98" i="1"/>
  <c r="C8" i="2"/>
  <c r="C73" i="1"/>
</calcChain>
</file>

<file path=xl/comments1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Приймаємо відповідні значення частоти обертання з паспортних даних верстата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Корегуємо значення Sт.р за паспортними даними верстата (приймаємо найближче менше значення)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Оптимальним є режим, у якого Sхв є максимальним</t>
        </r>
      </text>
    </comment>
  </commentList>
</comments>
</file>

<file path=xl/sharedStrings.xml><?xml version="1.0" encoding="utf-8"?>
<sst xmlns="http://schemas.openxmlformats.org/spreadsheetml/2006/main" count="270" uniqueCount="234">
  <si>
    <t>Сигма/НВ</t>
  </si>
  <si>
    <t>L/D</t>
  </si>
  <si>
    <t>ϕ скорект</t>
  </si>
  <si>
    <r>
      <t>C</t>
    </r>
    <r>
      <rPr>
        <sz val="8"/>
        <color theme="1"/>
        <rFont val="Calibri"/>
        <family val="2"/>
        <charset val="204"/>
      </rPr>
      <t>pz</t>
    </r>
  </si>
  <si>
    <r>
      <t>X</t>
    </r>
    <r>
      <rPr>
        <sz val="8"/>
        <color theme="1"/>
        <rFont val="Calibri"/>
        <family val="2"/>
        <charset val="204"/>
        <scheme val="minor"/>
      </rPr>
      <t>pz</t>
    </r>
  </si>
  <si>
    <r>
      <t>Y</t>
    </r>
    <r>
      <rPr>
        <sz val="8"/>
        <color theme="1"/>
        <rFont val="Calibri"/>
        <family val="2"/>
        <charset val="204"/>
        <scheme val="minor"/>
      </rPr>
      <t>pz</t>
    </r>
  </si>
  <si>
    <r>
      <t>n</t>
    </r>
    <r>
      <rPr>
        <sz val="8"/>
        <color theme="1"/>
        <rFont val="Calibri"/>
        <family val="2"/>
        <charset val="204"/>
        <scheme val="minor"/>
      </rPr>
      <t>pz</t>
    </r>
  </si>
  <si>
    <t>Kpz</t>
  </si>
  <si>
    <t>Kфи</t>
  </si>
  <si>
    <r>
      <t>К</t>
    </r>
    <r>
      <rPr>
        <sz val="8"/>
        <color theme="1"/>
        <rFont val="Calibri"/>
        <family val="2"/>
        <charset val="204"/>
      </rPr>
      <t>ϒ</t>
    </r>
  </si>
  <si>
    <r>
      <t>К</t>
    </r>
    <r>
      <rPr>
        <sz val="8"/>
        <color theme="1"/>
        <rFont val="Calibri"/>
        <family val="2"/>
        <charset val="204"/>
      </rPr>
      <t>λ</t>
    </r>
  </si>
  <si>
    <r>
      <t>К</t>
    </r>
    <r>
      <rPr>
        <sz val="8"/>
        <color theme="1"/>
        <rFont val="Calibri"/>
        <family val="2"/>
        <charset val="204"/>
        <scheme val="minor"/>
      </rPr>
      <t>rв</t>
    </r>
  </si>
  <si>
    <r>
      <t>К</t>
    </r>
    <r>
      <rPr>
        <sz val="8"/>
        <color theme="1"/>
        <rFont val="Calibri"/>
        <family val="2"/>
        <charset val="204"/>
        <scheme val="minor"/>
      </rPr>
      <t>мр</t>
    </r>
  </si>
  <si>
    <r>
      <t>C</t>
    </r>
    <r>
      <rPr>
        <sz val="8"/>
        <color theme="1"/>
        <rFont val="Calibri"/>
        <family val="2"/>
        <charset val="204"/>
        <scheme val="minor"/>
      </rPr>
      <t>v</t>
    </r>
  </si>
  <si>
    <r>
      <t>X</t>
    </r>
    <r>
      <rPr>
        <sz val="8"/>
        <color theme="1"/>
        <rFont val="Calibri"/>
        <family val="2"/>
        <charset val="204"/>
        <scheme val="minor"/>
      </rPr>
      <t>v</t>
    </r>
  </si>
  <si>
    <r>
      <t>y</t>
    </r>
    <r>
      <rPr>
        <sz val="8"/>
        <color theme="1"/>
        <rFont val="Calibri"/>
        <family val="2"/>
        <charset val="204"/>
        <scheme val="minor"/>
      </rPr>
      <t>v</t>
    </r>
  </si>
  <si>
    <t>m</t>
  </si>
  <si>
    <r>
      <t>K</t>
    </r>
    <r>
      <rPr>
        <sz val="8"/>
        <color theme="1"/>
        <rFont val="Calibri"/>
        <family val="2"/>
        <charset val="204"/>
        <scheme val="minor"/>
      </rPr>
      <t>Mv</t>
    </r>
  </si>
  <si>
    <r>
      <t>K</t>
    </r>
    <r>
      <rPr>
        <sz val="8"/>
        <color theme="1"/>
        <rFont val="Calibri"/>
        <family val="2"/>
        <charset val="204"/>
        <scheme val="minor"/>
      </rPr>
      <t>Iv</t>
    </r>
  </si>
  <si>
    <r>
      <t>K</t>
    </r>
    <r>
      <rPr>
        <sz val="8"/>
        <color theme="1"/>
        <rFont val="Calibri"/>
        <family val="2"/>
        <charset val="204"/>
        <scheme val="minor"/>
      </rPr>
      <t>nv</t>
    </r>
  </si>
  <si>
    <r>
      <t>K</t>
    </r>
    <r>
      <rPr>
        <sz val="8"/>
        <color theme="1"/>
        <rFont val="Calibri"/>
        <family val="2"/>
        <charset val="204"/>
        <scheme val="minor"/>
      </rPr>
      <t>v</t>
    </r>
  </si>
  <si>
    <r>
      <t>n</t>
    </r>
    <r>
      <rPr>
        <sz val="8"/>
        <color theme="1"/>
        <rFont val="Calibri"/>
        <family val="2"/>
        <charset val="204"/>
        <scheme val="minor"/>
      </rPr>
      <t>v</t>
    </r>
  </si>
  <si>
    <t>Значение корня</t>
  </si>
  <si>
    <r>
      <t>f</t>
    </r>
    <r>
      <rPr>
        <sz val="8"/>
        <color theme="1"/>
        <rFont val="Calibri"/>
        <family val="2"/>
        <charset val="204"/>
        <scheme val="minor"/>
      </rPr>
      <t>p</t>
    </r>
  </si>
  <si>
    <r>
      <t>f</t>
    </r>
    <r>
      <rPr>
        <sz val="8"/>
        <color theme="1"/>
        <rFont val="Calibri"/>
        <family val="2"/>
        <charset val="204"/>
        <scheme val="minor"/>
      </rPr>
      <t>g</t>
    </r>
  </si>
  <si>
    <t>μ</t>
  </si>
  <si>
    <t>I</t>
  </si>
  <si>
    <r>
      <t>C</t>
    </r>
    <r>
      <rPr>
        <sz val="8"/>
        <color theme="1"/>
        <rFont val="Calibri"/>
        <family val="2"/>
        <charset val="204"/>
        <scheme val="minor"/>
      </rPr>
      <t>н</t>
    </r>
  </si>
  <si>
    <r>
      <t>Y</t>
    </r>
    <r>
      <rPr>
        <sz val="8"/>
        <color theme="1"/>
        <rFont val="Calibri"/>
        <family val="2"/>
        <charset val="204"/>
        <scheme val="minor"/>
      </rPr>
      <t>k</t>
    </r>
  </si>
  <si>
    <r>
      <t>U</t>
    </r>
    <r>
      <rPr>
        <sz val="8"/>
        <color theme="1"/>
        <rFont val="Calibri"/>
        <family val="2"/>
        <charset val="204"/>
        <scheme val="minor"/>
      </rPr>
      <t>R</t>
    </r>
  </si>
  <si>
    <r>
      <t>X</t>
    </r>
    <r>
      <rPr>
        <sz val="8"/>
        <color theme="1"/>
        <rFont val="Calibri"/>
        <family val="2"/>
        <charset val="204"/>
        <scheme val="minor"/>
      </rPr>
      <t>R</t>
    </r>
  </si>
  <si>
    <r>
      <t>Z</t>
    </r>
    <r>
      <rPr>
        <sz val="8"/>
        <color theme="1"/>
        <rFont val="Calibri"/>
        <family val="2"/>
        <charset val="204"/>
        <scheme val="minor"/>
      </rPr>
      <t>R</t>
    </r>
  </si>
  <si>
    <t>η</t>
  </si>
  <si>
    <r>
      <t>K</t>
    </r>
    <r>
      <rPr>
        <sz val="9"/>
        <color theme="1"/>
        <rFont val="Calibri"/>
        <family val="2"/>
        <charset val="204"/>
        <scheme val="minor"/>
      </rPr>
      <t>т</t>
    </r>
  </si>
  <si>
    <r>
      <t>K</t>
    </r>
    <r>
      <rPr>
        <sz val="8"/>
        <color theme="1"/>
        <rFont val="Calibri"/>
        <family val="2"/>
        <charset val="204"/>
        <scheme val="minor"/>
      </rPr>
      <t>N</t>
    </r>
  </si>
  <si>
    <t>d, мм</t>
  </si>
  <si>
    <t>L, мм</t>
  </si>
  <si>
    <t xml:space="preserve">Sж.р = </t>
  </si>
  <si>
    <t>Радіус вершини</t>
  </si>
  <si>
    <t>Глибина різання</t>
  </si>
  <si>
    <t>Допоміжний кут в плані</t>
  </si>
  <si>
    <t>Головний кут в плані</t>
  </si>
  <si>
    <t>Кут при вершині</t>
  </si>
  <si>
    <t>Ширина зрізу</t>
  </si>
  <si>
    <t>D, мм</t>
  </si>
  <si>
    <t>Довжина</t>
  </si>
  <si>
    <t>ККД верстата</t>
  </si>
  <si>
    <t>Прогин різця</t>
  </si>
  <si>
    <t>Подача яка допускається міцністю пластинки</t>
  </si>
  <si>
    <t>Подача яка допускається жорсткістю різця</t>
  </si>
  <si>
    <t>Подача яка допускається міцністю різця</t>
  </si>
  <si>
    <t>Коефіціент який враховує схему закріплення різця</t>
  </si>
  <si>
    <t>Момент інерції поперечного перерізу заготовки</t>
  </si>
  <si>
    <t>Подача яка допускається міцністю механізму подач</t>
  </si>
  <si>
    <t>Осьова сила щодопускається міцністю механізму подач</t>
  </si>
  <si>
    <t>Економічне значення подачі</t>
  </si>
  <si>
    <t>Технологічна подача</t>
  </si>
  <si>
    <t>Економічне значення числа обертів</t>
  </si>
  <si>
    <t>Економічне значення подачі за потужністю</t>
  </si>
  <si>
    <r>
      <t>S</t>
    </r>
    <r>
      <rPr>
        <sz val="8"/>
        <color theme="1"/>
        <rFont val="Calibri"/>
        <family val="2"/>
        <charset val="204"/>
        <scheme val="minor"/>
      </rPr>
      <t>п верст, мм/об</t>
    </r>
  </si>
  <si>
    <t>n, об/хв</t>
  </si>
  <si>
    <t>Хвилинна подача</t>
  </si>
  <si>
    <t>Оптимальна швидкість різання</t>
  </si>
  <si>
    <t>Оптимальний період стійкості</t>
  </si>
  <si>
    <t>Коефіціент використання різця за стійкістю</t>
  </si>
  <si>
    <t>Сила різання</t>
  </si>
  <si>
    <t>Потужність різання</t>
  </si>
  <si>
    <t>Коефіціент використання верстата за потужністю</t>
  </si>
  <si>
    <t xml:space="preserve">КN =  </t>
  </si>
  <si>
    <r>
      <t>P</t>
    </r>
    <r>
      <rPr>
        <sz val="8"/>
        <color theme="1"/>
        <rFont val="Calibri"/>
        <family val="2"/>
        <charset val="204"/>
        <scheme val="minor"/>
      </rPr>
      <t>z, Н</t>
    </r>
  </si>
  <si>
    <r>
      <t>N</t>
    </r>
    <r>
      <rPr>
        <sz val="8"/>
        <color theme="1"/>
        <rFont val="Calibri"/>
        <family val="2"/>
        <charset val="204"/>
        <scheme val="minor"/>
      </rPr>
      <t>p, кВт</t>
    </r>
  </si>
  <si>
    <r>
      <t>T</t>
    </r>
    <r>
      <rPr>
        <sz val="9"/>
        <color theme="1"/>
        <rFont val="Calibri"/>
        <family val="2"/>
        <charset val="204"/>
        <scheme val="minor"/>
      </rPr>
      <t>опт, хв</t>
    </r>
  </si>
  <si>
    <r>
      <t>V</t>
    </r>
    <r>
      <rPr>
        <sz val="8"/>
        <color theme="1"/>
        <rFont val="Calibri"/>
        <family val="2"/>
        <charset val="204"/>
        <scheme val="minor"/>
      </rPr>
      <t>опт, м/хв</t>
    </r>
  </si>
  <si>
    <t xml:space="preserve">Nр =  </t>
  </si>
  <si>
    <t>Подача мінімальна</t>
  </si>
  <si>
    <t>Відношеня довжини деталі до діаметру</t>
  </si>
  <si>
    <t>Діаметр заготовки</t>
  </si>
  <si>
    <t>Діаметр готової деталі</t>
  </si>
  <si>
    <t>Потужність електродвигуна</t>
  </si>
  <si>
    <t>Площа зрізу</t>
  </si>
  <si>
    <t>Виліт різця</t>
  </si>
  <si>
    <t>Період стійкості</t>
  </si>
  <si>
    <t>Модуль пружності матеріалу державки</t>
  </si>
  <si>
    <t>Товщина твердосплавної пластини</t>
  </si>
  <si>
    <t>Подача яка допускається жорсткістю деталі</t>
  </si>
  <si>
    <t>Допустима величина прогину деталі</t>
  </si>
  <si>
    <t>Коефіціент що характеризує умови обробки</t>
  </si>
  <si>
    <r>
      <t>R</t>
    </r>
    <r>
      <rPr>
        <sz val="8"/>
        <color theme="1"/>
        <rFont val="Calibri"/>
        <family val="2"/>
        <charset val="204"/>
        <scheme val="minor"/>
      </rPr>
      <t>zmax, мм</t>
    </r>
  </si>
  <si>
    <t>максимальна допустима висота мікронерівностей поверхні</t>
  </si>
  <si>
    <t>Показники степеню при змінних</t>
  </si>
  <si>
    <t>b = t/sinφ</t>
  </si>
  <si>
    <r>
      <t>S</t>
    </r>
    <r>
      <rPr>
        <vertAlign val="subscript"/>
        <sz val="14"/>
        <color theme="1"/>
        <rFont val="Times New Roman"/>
        <family val="1"/>
        <charset val="204"/>
      </rPr>
      <t>міц..пл. =</t>
    </r>
  </si>
  <si>
    <r>
      <t>S</t>
    </r>
    <r>
      <rPr>
        <vertAlign val="subscript"/>
        <sz val="14"/>
        <color theme="1"/>
        <rFont val="Times New Roman"/>
        <family val="1"/>
        <charset val="204"/>
      </rPr>
      <t>ж.д =</t>
    </r>
  </si>
  <si>
    <r>
      <t>I = 0,05·d</t>
    </r>
    <r>
      <rPr>
        <vertAlign val="superscript"/>
        <sz val="14"/>
        <color theme="1"/>
        <rFont val="Times New Roman"/>
        <family val="1"/>
        <charset val="204"/>
      </rPr>
      <t xml:space="preserve">4 </t>
    </r>
  </si>
  <si>
    <r>
      <t>S</t>
    </r>
    <r>
      <rPr>
        <vertAlign val="subscript"/>
        <sz val="14"/>
        <color theme="1"/>
        <rFont val="Times New Roman"/>
        <family val="1"/>
        <charset val="204"/>
      </rPr>
      <t>м.п =</t>
    </r>
  </si>
  <si>
    <r>
      <t>n</t>
    </r>
    <r>
      <rPr>
        <vertAlign val="subscript"/>
        <sz val="14"/>
        <color theme="1"/>
        <rFont val="Times New Roman"/>
        <family val="1"/>
        <charset val="204"/>
      </rPr>
      <t xml:space="preserve">e = </t>
    </r>
  </si>
  <si>
    <r>
      <t>S</t>
    </r>
    <r>
      <rPr>
        <i/>
        <vertAlign val="subscript"/>
        <sz val="14"/>
        <color theme="1"/>
        <rFont val="Times New Roman"/>
        <family val="1"/>
        <charset val="204"/>
      </rPr>
      <t>е</t>
    </r>
    <r>
      <rPr>
        <sz val="14"/>
        <color theme="1"/>
        <rFont val="Times New Roman"/>
        <family val="1"/>
        <charset val="204"/>
      </rPr>
      <t>= S</t>
    </r>
    <r>
      <rPr>
        <vertAlign val="subscript"/>
        <sz val="14"/>
        <color theme="1"/>
        <rFont val="Times New Roman"/>
        <family val="1"/>
        <charset val="204"/>
      </rPr>
      <t>ш.пов</t>
    </r>
  </si>
  <si>
    <r>
      <t>S</t>
    </r>
    <r>
      <rPr>
        <vertAlign val="subscript"/>
        <sz val="14"/>
        <color theme="1"/>
        <rFont val="Times New Roman"/>
        <family val="1"/>
        <charset val="204"/>
      </rPr>
      <t>п.в  =</t>
    </r>
  </si>
  <si>
    <r>
      <t>S</t>
    </r>
    <r>
      <rPr>
        <vertAlign val="subscript"/>
        <sz val="14"/>
        <color theme="1"/>
        <rFont val="Times New Roman"/>
        <family val="1"/>
        <charset val="204"/>
      </rPr>
      <t>т.р</t>
    </r>
    <r>
      <rPr>
        <sz val="14"/>
        <color theme="1"/>
        <rFont val="Times New Roman"/>
        <family val="1"/>
        <charset val="204"/>
      </rPr>
      <t xml:space="preserve"> = S</t>
    </r>
    <r>
      <rPr>
        <vertAlign val="subscript"/>
        <sz val="14"/>
        <color theme="1"/>
        <rFont val="Times New Roman"/>
        <family val="1"/>
        <charset val="204"/>
      </rPr>
      <t>пв</t>
    </r>
  </si>
  <si>
    <r>
      <t>S</t>
    </r>
    <r>
      <rPr>
        <vertAlign val="subscript"/>
        <sz val="14"/>
        <color theme="1"/>
        <rFont val="Times New Roman"/>
        <family val="1"/>
        <charset val="204"/>
      </rPr>
      <t xml:space="preserve">хв.19 = </t>
    </r>
    <r>
      <rPr>
        <sz val="14"/>
        <color theme="1"/>
        <rFont val="Times New Roman"/>
        <family val="1"/>
        <charset val="204"/>
      </rPr>
      <t>n</t>
    </r>
    <r>
      <rPr>
        <vertAlign val="subscript"/>
        <sz val="14"/>
        <color theme="1"/>
        <rFont val="Times New Roman"/>
        <family val="1"/>
        <charset val="204"/>
      </rPr>
      <t>д</t>
    </r>
    <r>
      <rPr>
        <sz val="14"/>
        <color theme="1"/>
        <rFont val="Times New Roman"/>
        <family val="1"/>
        <charset val="204"/>
      </rPr>
      <t>· S</t>
    </r>
    <r>
      <rPr>
        <vertAlign val="subscript"/>
        <sz val="14"/>
        <color theme="1"/>
        <rFont val="Times New Roman"/>
        <family val="1"/>
        <charset val="204"/>
      </rPr>
      <t>т. д</t>
    </r>
    <r>
      <rPr>
        <sz val="14"/>
        <color theme="1"/>
        <rFont val="Times New Roman"/>
        <family val="1"/>
        <charset val="204"/>
      </rPr>
      <t xml:space="preserve"> </t>
    </r>
  </si>
  <si>
    <r>
      <t>Т</t>
    </r>
    <r>
      <rPr>
        <vertAlign val="subscript"/>
        <sz val="14"/>
        <color theme="1"/>
        <rFont val="Times New Roman"/>
        <family val="1"/>
        <charset val="204"/>
      </rPr>
      <t>опт</t>
    </r>
    <r>
      <rPr>
        <sz val="14"/>
        <color theme="1"/>
        <rFont val="Times New Roman"/>
        <family val="1"/>
        <charset val="204"/>
      </rPr>
      <t xml:space="preserve">  = </t>
    </r>
  </si>
  <si>
    <t>Коефіціенти для визначення сил різання</t>
  </si>
  <si>
    <t>ϕ°</t>
  </si>
  <si>
    <r>
      <t>r</t>
    </r>
    <r>
      <rPr>
        <sz val="8"/>
        <color theme="1"/>
        <rFont val="Calibri"/>
        <family val="2"/>
        <charset val="204"/>
        <scheme val="minor"/>
      </rPr>
      <t>в°</t>
    </r>
  </si>
  <si>
    <t>t, мм</t>
  </si>
  <si>
    <r>
      <t>N</t>
    </r>
    <r>
      <rPr>
        <sz val="8"/>
        <color theme="1"/>
        <rFont val="Calibri"/>
        <family val="2"/>
        <charset val="204"/>
        <scheme val="minor"/>
      </rPr>
      <t xml:space="preserve">e, </t>
    </r>
    <r>
      <rPr>
        <sz val="12"/>
        <color theme="1"/>
        <rFont val="Calibri"/>
        <family val="2"/>
        <charset val="204"/>
        <scheme val="minor"/>
      </rPr>
      <t>кВт</t>
    </r>
  </si>
  <si>
    <r>
      <t>ϕ</t>
    </r>
    <r>
      <rPr>
        <sz val="8"/>
        <color theme="1"/>
        <rFont val="Calibri"/>
        <family val="2"/>
        <charset val="204"/>
      </rPr>
      <t>1 °</t>
    </r>
  </si>
  <si>
    <t>ε°</t>
  </si>
  <si>
    <t>b, мм</t>
  </si>
  <si>
    <t>B, мм</t>
  </si>
  <si>
    <t>H, мм</t>
  </si>
  <si>
    <r>
      <t>f, мм</t>
    </r>
    <r>
      <rPr>
        <sz val="11"/>
        <color theme="1"/>
        <rFont val="Calibri"/>
        <family val="2"/>
        <charset val="204"/>
      </rPr>
      <t>²</t>
    </r>
  </si>
  <si>
    <t>S min, мм/об</t>
  </si>
  <si>
    <r>
      <t>E</t>
    </r>
    <r>
      <rPr>
        <sz val="8"/>
        <color theme="1"/>
        <rFont val="Calibri"/>
        <family val="2"/>
        <charset val="204"/>
        <scheme val="minor"/>
      </rPr>
      <t>p, Мпа</t>
    </r>
  </si>
  <si>
    <r>
      <t>S</t>
    </r>
    <r>
      <rPr>
        <sz val="8"/>
        <color theme="1"/>
        <rFont val="Calibri"/>
        <family val="2"/>
        <charset val="204"/>
        <scheme val="minor"/>
      </rPr>
      <t>жр, мм/об</t>
    </r>
  </si>
  <si>
    <r>
      <t>T</t>
    </r>
    <r>
      <rPr>
        <sz val="8"/>
        <color theme="1"/>
        <rFont val="Calibri"/>
        <family val="2"/>
        <charset val="204"/>
        <scheme val="minor"/>
      </rPr>
      <t>e, хв</t>
    </r>
  </si>
  <si>
    <r>
      <t>S</t>
    </r>
    <r>
      <rPr>
        <sz val="8"/>
        <color theme="1"/>
        <rFont val="Calibri"/>
        <family val="2"/>
        <charset val="204"/>
        <scheme val="minor"/>
      </rPr>
      <t>міц р, мм/об</t>
    </r>
  </si>
  <si>
    <r>
      <t>L</t>
    </r>
    <r>
      <rPr>
        <sz val="8"/>
        <color theme="1"/>
        <rFont val="Calibri"/>
        <family val="2"/>
        <charset val="204"/>
        <scheme val="minor"/>
      </rPr>
      <t>p, мм</t>
    </r>
  </si>
  <si>
    <r>
      <t>S</t>
    </r>
    <r>
      <rPr>
        <sz val="8"/>
        <color theme="1"/>
        <rFont val="Calibri"/>
        <family val="2"/>
        <charset val="204"/>
        <scheme val="minor"/>
      </rPr>
      <t>міц п, мм/об</t>
    </r>
  </si>
  <si>
    <t>C, мм</t>
  </si>
  <si>
    <r>
      <t>S</t>
    </r>
    <r>
      <rPr>
        <sz val="8"/>
        <color theme="1"/>
        <rFont val="Calibri"/>
        <family val="2"/>
        <charset val="204"/>
        <scheme val="minor"/>
      </rPr>
      <t>жд, мм/об</t>
    </r>
  </si>
  <si>
    <r>
      <t>P</t>
    </r>
    <r>
      <rPr>
        <sz val="8"/>
        <color theme="1"/>
        <rFont val="Calibri"/>
        <family val="2"/>
        <charset val="204"/>
        <scheme val="minor"/>
      </rPr>
      <t>мп, Н</t>
    </r>
  </si>
  <si>
    <r>
      <t>S</t>
    </r>
    <r>
      <rPr>
        <sz val="8"/>
        <color theme="1"/>
        <rFont val="Calibri"/>
        <family val="2"/>
        <charset val="204"/>
        <scheme val="minor"/>
      </rPr>
      <t>мп, мм/об</t>
    </r>
  </si>
  <si>
    <r>
      <t>S</t>
    </r>
    <r>
      <rPr>
        <sz val="8"/>
        <color theme="1"/>
        <rFont val="Calibri"/>
        <family val="2"/>
        <charset val="204"/>
        <scheme val="minor"/>
      </rPr>
      <t>ro, мм/об</t>
    </r>
  </si>
  <si>
    <r>
      <t>S</t>
    </r>
    <r>
      <rPr>
        <sz val="8"/>
        <color theme="1"/>
        <rFont val="Calibri"/>
        <family val="2"/>
        <charset val="204"/>
        <scheme val="minor"/>
      </rPr>
      <t>e, мм/об</t>
    </r>
  </si>
  <si>
    <r>
      <t>n</t>
    </r>
    <r>
      <rPr>
        <sz val="8"/>
        <color theme="1"/>
        <rFont val="Calibri"/>
        <family val="2"/>
        <charset val="204"/>
        <scheme val="minor"/>
      </rPr>
      <t>e, об/хв</t>
    </r>
  </si>
  <si>
    <r>
      <t>S</t>
    </r>
    <r>
      <rPr>
        <sz val="8"/>
        <color theme="1"/>
        <rFont val="Calibri"/>
        <family val="2"/>
        <charset val="204"/>
        <scheme val="minor"/>
      </rPr>
      <t>т, мм/об</t>
    </r>
  </si>
  <si>
    <r>
      <t>S</t>
    </r>
    <r>
      <rPr>
        <sz val="8"/>
        <color theme="1"/>
        <rFont val="Calibri"/>
        <family val="2"/>
        <charset val="204"/>
        <scheme val="minor"/>
      </rPr>
      <t>тр, мм/об</t>
    </r>
  </si>
  <si>
    <r>
      <t>S</t>
    </r>
    <r>
      <rPr>
        <sz val="8"/>
        <color theme="1"/>
        <rFont val="Calibri"/>
        <family val="2"/>
        <charset val="204"/>
        <scheme val="minor"/>
      </rPr>
      <t>хв, мм/хв</t>
    </r>
  </si>
  <si>
    <t>Поправочний коефіціент, який враховує вплив інструментального матеріалу на швидкість різання</t>
  </si>
  <si>
    <t>Поправочний коефіціент, який враховує вплив фізико - механічних властивостей матеріалу  на швидкість різання</t>
  </si>
  <si>
    <t>Поправочний коефіціент для визначення сил різання</t>
  </si>
  <si>
    <t>Коефіціенти , що вараховують вплив геометрії різця на  сили різання</t>
  </si>
  <si>
    <t>Коефіцієнт, що враховує вплив властивостей матеріалу заготовки на силу різання</t>
  </si>
  <si>
    <t>Показники степеня для визначення швидкості різання</t>
  </si>
  <si>
    <t>Ширина державки різця</t>
  </si>
  <si>
    <t>Висота державки різця</t>
  </si>
  <si>
    <t>Частота обертання шпінделя</t>
  </si>
  <si>
    <t>Оптимальне значення технологічної подачі</t>
  </si>
  <si>
    <t>Основний (машинний) час</t>
  </si>
  <si>
    <t>То, хв</t>
  </si>
  <si>
    <t>Подача що обмежується чистиною поверхні</t>
  </si>
  <si>
    <t>РЕЗУЛЬТАТИ РОЗРАХУНКІВ</t>
  </si>
  <si>
    <t>Глибина різання, мм</t>
  </si>
  <si>
    <t>мм</t>
  </si>
  <si>
    <t>об/хв</t>
  </si>
  <si>
    <t>мм/об</t>
  </si>
  <si>
    <t>мм/хв</t>
  </si>
  <si>
    <t xml:space="preserve"> м/хв</t>
  </si>
  <si>
    <t>хв</t>
  </si>
  <si>
    <t>кВт</t>
  </si>
  <si>
    <t xml:space="preserve">Хвилинна подача </t>
  </si>
  <si>
    <t>Розрахунки</t>
  </si>
  <si>
    <t>Розміри деталі</t>
  </si>
  <si>
    <t>Якщо потрібно більше/менше знаків після коми, то виправ через "формат ячейки"</t>
  </si>
  <si>
    <t>Блакитним кольором позначені вихідні дані</t>
  </si>
  <si>
    <t>Червоний колір - результати розрахунків</t>
  </si>
  <si>
    <t>Додаток 6 - Значення коефіцієнта Сv та показників степенів в формулах швидкості різання при обробці різцями</t>
  </si>
  <si>
    <t>обробки</t>
  </si>
  <si>
    <t>Жовтим кольором позначені табличні дані, які беремо з аркушу "Значення коефіцієнту Сp"</t>
  </si>
  <si>
    <t>Додаток 8 - Значення коефіцієнта Ср та показників степенів в формулах сили різання при точінні</t>
  </si>
  <si>
    <t>матеріал робочої частини різця</t>
  </si>
  <si>
    <t xml:space="preserve">Вид </t>
  </si>
  <si>
    <t>Коефіцієнт та показники степеня в формулах для складових</t>
  </si>
  <si>
    <t>х</t>
  </si>
  <si>
    <t>у</t>
  </si>
  <si>
    <t>n</t>
  </si>
  <si>
    <t>твердий сплав</t>
  </si>
  <si>
    <t xml:space="preserve">Зовнішнє повздовжнє та  поперечне точіння та розточування </t>
  </si>
  <si>
    <t xml:space="preserve">Зовнішнє повздовжнє точіння різцями з додатковим лезом </t>
  </si>
  <si>
    <t>Швидкорізал.</t>
  </si>
  <si>
    <t>сталь</t>
  </si>
  <si>
    <t>Зовнішнє повздовжнє точіння, підрізання та розточувння</t>
  </si>
  <si>
    <t>Сірий чавун, НВ 190</t>
  </si>
  <si>
    <t>Твердий сплав</t>
  </si>
  <si>
    <t>Зовнішнє повздовжнє та  поперечне точіння та розточування</t>
  </si>
  <si>
    <t>Швидкоріз.</t>
  </si>
  <si>
    <t>Відрізння та прорізння</t>
  </si>
  <si>
    <t>-</t>
  </si>
  <si>
    <r>
      <t>Тангенійна Р</t>
    </r>
    <r>
      <rPr>
        <b/>
        <vertAlign val="subscript"/>
        <sz val="12"/>
        <color theme="1"/>
        <rFont val="Times New Roman"/>
        <family val="1"/>
        <charset val="204"/>
      </rPr>
      <t>z</t>
    </r>
  </si>
  <si>
    <r>
      <t>Радіальна Р</t>
    </r>
    <r>
      <rPr>
        <b/>
        <vertAlign val="subscript"/>
        <sz val="12"/>
        <color theme="1"/>
        <rFont val="Times New Roman"/>
        <family val="1"/>
        <charset val="204"/>
      </rPr>
      <t>y</t>
    </r>
  </si>
  <si>
    <r>
      <t>Осьова Р</t>
    </r>
    <r>
      <rPr>
        <b/>
        <vertAlign val="subscript"/>
        <sz val="12"/>
        <color theme="1"/>
        <rFont val="Times New Roman"/>
        <family val="1"/>
        <charset val="204"/>
      </rPr>
      <t>x</t>
    </r>
  </si>
  <si>
    <r>
      <t>С</t>
    </r>
    <r>
      <rPr>
        <b/>
        <vertAlign val="subscript"/>
        <sz val="12"/>
        <color theme="1"/>
        <rFont val="Times New Roman"/>
        <family val="1"/>
        <charset val="204"/>
      </rPr>
      <t>р</t>
    </r>
  </si>
  <si>
    <r>
      <t>Конструкційна сталь та стальні відливки, σ</t>
    </r>
    <r>
      <rPr>
        <b/>
        <vertAlign val="subscript"/>
        <sz val="12"/>
        <color theme="1"/>
        <rFont val="Times New Roman"/>
        <family val="1"/>
        <charset val="204"/>
      </rPr>
      <t>в</t>
    </r>
    <r>
      <rPr>
        <b/>
        <sz val="12"/>
        <color theme="1"/>
        <rFont val="Times New Roman"/>
        <family val="1"/>
        <charset val="204"/>
      </rPr>
      <t>= 750 МПа</t>
    </r>
  </si>
  <si>
    <t>Поправні коефіцієнти, що враховують вплив геометричних параметрів різців на складові сили різання при обробці сталі та чавуну</t>
  </si>
  <si>
    <t>Параметри</t>
  </si>
  <si>
    <t>Матеріал різальної частини інструменту</t>
  </si>
  <si>
    <t>Поправні коефіцієнти</t>
  </si>
  <si>
    <t>Найменування</t>
  </si>
  <si>
    <t>Величина</t>
  </si>
  <si>
    <t>Позначення</t>
  </si>
  <si>
    <t>Величина коефіцієнта для складових</t>
  </si>
  <si>
    <r>
      <t>Тангенційна Р</t>
    </r>
    <r>
      <rPr>
        <b/>
        <vertAlign val="subscript"/>
        <sz val="12"/>
        <color theme="1"/>
        <rFont val="Times New Roman"/>
        <family val="1"/>
        <charset val="204"/>
      </rPr>
      <t>z</t>
    </r>
  </si>
  <si>
    <t>Головний кут в плані φ</t>
  </si>
  <si>
    <r>
      <t>К</t>
    </r>
    <r>
      <rPr>
        <vertAlign val="subscript"/>
        <sz val="12"/>
        <color theme="1"/>
        <rFont val="Times New Roman"/>
        <family val="1"/>
        <charset val="204"/>
      </rPr>
      <t>φ</t>
    </r>
  </si>
  <si>
    <t>Швидкоріжуча сталь</t>
  </si>
  <si>
    <t>Передній кут γ</t>
  </si>
  <si>
    <r>
      <t xml:space="preserve">   К</t>
    </r>
    <r>
      <rPr>
        <vertAlign val="subscript"/>
        <sz val="12"/>
        <color theme="1"/>
        <rFont val="Times New Roman"/>
        <family val="1"/>
        <charset val="204"/>
      </rPr>
      <t>γ</t>
    </r>
  </si>
  <si>
    <t>20-25</t>
  </si>
  <si>
    <t>Кут нахилу леза λ</t>
  </si>
  <si>
    <r>
      <t>К</t>
    </r>
    <r>
      <rPr>
        <vertAlign val="subscript"/>
        <sz val="12"/>
        <color theme="1"/>
        <rFont val="Times New Roman"/>
        <family val="1"/>
        <charset val="204"/>
      </rPr>
      <t>λ</t>
    </r>
  </si>
  <si>
    <t>Радіус при вершині r, мм</t>
  </si>
  <si>
    <r>
      <t>К</t>
    </r>
    <r>
      <rPr>
        <vertAlign val="subscript"/>
        <sz val="12"/>
        <color theme="1"/>
        <rFont val="Times New Roman"/>
        <family val="1"/>
        <charset val="204"/>
      </rPr>
      <t>r</t>
    </r>
  </si>
  <si>
    <t>Додаток 3 - Поправочний коефіцієнт Кпv , що враховує вплив стану  поверхні заготівки на швидкість різання</t>
  </si>
  <si>
    <t>Додаток 4 - Поправний коефіцієнт Киv, що враховує вплив інструментального матеріалу на швидкість різання</t>
  </si>
  <si>
    <t>Рожевим кольором позначені табличні дані, які беремо з аркушу "Значення коефіцієнту Сv"</t>
  </si>
  <si>
    <t>Зеленим кольором позначені табличні дані, які беремо з аркушу "Значення коефіцієнту СH"</t>
  </si>
  <si>
    <r>
      <t>Додаток 10 – Значення коефіцієнтів C</t>
    </r>
    <r>
      <rPr>
        <vertAlign val="subscript"/>
        <sz val="14"/>
        <color theme="1"/>
        <rFont val="Times New Roman"/>
        <family val="1"/>
        <charset val="204"/>
      </rPr>
      <t>n</t>
    </r>
    <r>
      <rPr>
        <sz val="14"/>
        <color theme="1"/>
        <rFont val="Times New Roman"/>
        <family val="1"/>
        <charset val="204"/>
      </rPr>
      <t xml:space="preserve"> і показників степеня у формулі</t>
    </r>
  </si>
  <si>
    <t>Паспортні дані токарно – гвинторізного верстата моделі 16К20</t>
  </si>
  <si>
    <t xml:space="preserve">     Частота обертання шпінделя верстата, об/хв: 12,5; 16; 20; 25; 31; 40; 50; 63; 80; 100; 125; 160; 200; 250; 315; 400; 500; 630; 800; 1000; 1250; 1600; 2000.</t>
  </si>
  <si>
    <t xml:space="preserve">     Повздовжня подача, мм/об: 0,07; 0,074; 0,084; 0,097; 0,11; 0,12; 0,13; 0,14; 0,15; 0,17; 0,19; 0,20; 0,21; 0,23; 0,26; 0,28; 0,30; 0,39; 0,43; 0,47; 0,52; 0,57; 0,61; 0,70; 0,78; 0,87; 0,95; 1,04; 1,14; 1,21; 1,4; 1,56; 1,74; 1,90; 2,08; 2,28; 2,42; 2,80; 3,12; 3,48; 3,80; 4,16.</t>
  </si>
  <si>
    <t xml:space="preserve">     Максимальна осьова сила різання, яка допускається механізмом подачі:</t>
  </si>
  <si>
    <t xml:space="preserve">     </t>
  </si>
  <si>
    <t xml:space="preserve">     ККД верстата: η = 0,8</t>
  </si>
  <si>
    <t>Рм.п = 6000Н.</t>
  </si>
  <si>
    <t xml:space="preserve">     Потужність головного електродвигуна: Nел = 10 кВт</t>
  </si>
  <si>
    <t>Необхідно скорегувати значення частоти обертання шпинделя за паспортними даними верстату, прийняти найближче менше значення</t>
  </si>
  <si>
    <t>Таблиця 1.1 Розрахункові дані</t>
  </si>
  <si>
    <t>№ ступеня</t>
  </si>
  <si>
    <t>n,</t>
  </si>
  <si>
    <t xml:space="preserve">    об/хв.</t>
  </si>
  <si>
    <t>Подача, мм/об</t>
  </si>
  <si>
    <t>Sхв.,    мм/хв</t>
  </si>
  <si>
    <t>Sт.р</t>
  </si>
  <si>
    <t>Sт.д</t>
  </si>
  <si>
    <t xml:space="preserve">         -</t>
  </si>
  <si>
    <t>Оптимальний режим</t>
  </si>
  <si>
    <t xml:space="preserve">Частота обертання шпинделя,  що допускаються потужністю верстата   </t>
  </si>
  <si>
    <t>nмс, об/хв</t>
  </si>
  <si>
    <t xml:space="preserve">Скореговане значення частоти обертання шпинделя,  що допускаються потужністю верстата </t>
  </si>
  <si>
    <t>nмд, об/хв</t>
  </si>
  <si>
    <t xml:space="preserve">Номер ступені коробки швидкостей верстата </t>
  </si>
  <si>
    <t>і</t>
  </si>
  <si>
    <r>
      <t>S</t>
    </r>
    <r>
      <rPr>
        <vertAlign val="subscript"/>
        <sz val="14"/>
        <color theme="1"/>
        <rFont val="Times New Roman"/>
        <family val="1"/>
        <charset val="204"/>
      </rPr>
      <t>т.р.(13+р)</t>
    </r>
    <r>
      <rPr>
        <sz val="14"/>
        <color theme="1"/>
        <rFont val="Times New Roman"/>
        <family val="1"/>
        <charset val="204"/>
      </rPr>
      <t xml:space="preserve">=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</si>
</sst>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i/>
      <vertAlign val="subscript"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rgb="FF00206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vertAlign val="subscript"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6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3" borderId="0" xfId="0" applyFill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/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15" fillId="0" borderId="10" xfId="0" applyFont="1" applyBorder="1"/>
    <xf numFmtId="0" fontId="15" fillId="0" borderId="10" xfId="0" applyFont="1" applyBorder="1" applyAlignment="1">
      <alignment horizontal="center" vertical="center"/>
    </xf>
    <xf numFmtId="0" fontId="13" fillId="4" borderId="0" xfId="0" applyFont="1" applyFill="1"/>
    <xf numFmtId="0" fontId="0" fillId="2" borderId="8" xfId="0" applyFill="1" applyBorder="1"/>
    <xf numFmtId="0" fontId="0" fillId="2" borderId="8" xfId="0" applyFill="1" applyBorder="1" applyAlignment="1">
      <alignment wrapText="1"/>
    </xf>
    <xf numFmtId="0" fontId="0" fillId="2" borderId="0" xfId="0" applyFill="1"/>
    <xf numFmtId="0" fontId="0" fillId="5" borderId="0" xfId="0" applyFill="1"/>
    <xf numFmtId="0" fontId="0" fillId="5" borderId="3" xfId="0" applyFill="1" applyBorder="1"/>
    <xf numFmtId="0" fontId="0" fillId="5" borderId="4" xfId="0" applyFill="1" applyBorder="1"/>
    <xf numFmtId="0" fontId="1" fillId="5" borderId="3" xfId="0" applyFont="1" applyFill="1" applyBorder="1"/>
    <xf numFmtId="0" fontId="0" fillId="5" borderId="5" xfId="0" applyFill="1" applyBorder="1"/>
    <xf numFmtId="0" fontId="0" fillId="5" borderId="6" xfId="0" applyFill="1" applyBorder="1"/>
    <xf numFmtId="0" fontId="17" fillId="0" borderId="18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textRotation="90" wrapText="1"/>
    </xf>
    <xf numFmtId="0" fontId="0" fillId="0" borderId="13" xfId="0" applyBorder="1" applyAlignment="1">
      <alignment vertical="top" textRotation="90" wrapText="1"/>
    </xf>
    <xf numFmtId="0" fontId="20" fillId="0" borderId="16" xfId="0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0" fillId="0" borderId="16" xfId="0" applyFont="1" applyBorder="1" applyAlignment="1">
      <alignment vertical="center" textRotation="90" wrapText="1"/>
    </xf>
    <xf numFmtId="0" fontId="20" fillId="0" borderId="16" xfId="0" applyFont="1" applyBorder="1" applyAlignment="1">
      <alignment horizontal="center" vertical="center" textRotation="90" wrapText="1"/>
    </xf>
    <xf numFmtId="0" fontId="0" fillId="0" borderId="16" xfId="0" applyBorder="1" applyAlignment="1">
      <alignment vertical="center" textRotation="90" wrapText="1"/>
    </xf>
    <xf numFmtId="0" fontId="0" fillId="0" borderId="14" xfId="0" applyBorder="1" applyAlignment="1">
      <alignment vertical="center" textRotation="90" wrapText="1"/>
    </xf>
    <xf numFmtId="0" fontId="20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textRotation="90" wrapText="1"/>
    </xf>
    <xf numFmtId="0" fontId="0" fillId="0" borderId="14" xfId="0" applyBorder="1" applyAlignment="1">
      <alignment vertical="top" wrapText="1"/>
    </xf>
    <xf numFmtId="0" fontId="0" fillId="6" borderId="0" xfId="0" applyFill="1"/>
    <xf numFmtId="0" fontId="17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vertical="center" wrapText="1"/>
    </xf>
    <xf numFmtId="0" fontId="18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0" fillId="0" borderId="16" xfId="0" applyBorder="1" applyAlignment="1">
      <alignment vertical="top" wrapText="1"/>
    </xf>
    <xf numFmtId="17" fontId="20" fillId="0" borderId="16" xfId="0" applyNumberFormat="1" applyFont="1" applyBorder="1" applyAlignment="1">
      <alignment horizontal="center" vertical="center" wrapText="1"/>
    </xf>
    <xf numFmtId="0" fontId="0" fillId="6" borderId="9" xfId="0" applyFill="1" applyBorder="1" applyAlignment="1">
      <alignment wrapText="1"/>
    </xf>
    <xf numFmtId="0" fontId="0" fillId="0" borderId="0" xfId="0" applyAlignment="1">
      <alignment horizontal="center"/>
    </xf>
    <xf numFmtId="0" fontId="0" fillId="7" borderId="0" xfId="0" applyFill="1"/>
    <xf numFmtId="0" fontId="0" fillId="8" borderId="0" xfId="0" applyFill="1"/>
    <xf numFmtId="0" fontId="5" fillId="0" borderId="18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2" fontId="0" fillId="0" borderId="0" xfId="0" applyNumberFormat="1"/>
    <xf numFmtId="164" fontId="0" fillId="0" borderId="0" xfId="0" applyNumberFormat="1"/>
    <xf numFmtId="164" fontId="5" fillId="0" borderId="14" xfId="0" applyNumberFormat="1" applyFont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top" wrapText="1"/>
    </xf>
    <xf numFmtId="0" fontId="0" fillId="6" borderId="8" xfId="0" applyFill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0" borderId="1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textRotation="90" wrapText="1"/>
    </xf>
    <xf numFmtId="0" fontId="20" fillId="0" borderId="15" xfId="0" applyFont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center" vertical="center" textRotation="90" wrapText="1"/>
    </xf>
    <xf numFmtId="0" fontId="17" fillId="0" borderId="2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17" xfId="0" applyFont="1" applyBorder="1" applyAlignment="1">
      <alignment horizontal="center" vertical="center" textRotation="180" wrapText="1"/>
    </xf>
    <xf numFmtId="0" fontId="20" fillId="0" borderId="15" xfId="0" applyFont="1" applyBorder="1" applyAlignment="1">
      <alignment horizontal="center" vertical="center" textRotation="180" wrapText="1"/>
    </xf>
    <xf numFmtId="0" fontId="20" fillId="0" borderId="13" xfId="0" applyFont="1" applyBorder="1" applyAlignment="1">
      <alignment horizontal="center" vertical="center" textRotation="180" wrapText="1"/>
    </xf>
    <xf numFmtId="0" fontId="20" fillId="0" borderId="2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7" xfId="0" applyFont="1" applyBorder="1" applyAlignment="1">
      <alignment vertical="center" textRotation="90" wrapText="1"/>
    </xf>
    <xf numFmtId="0" fontId="20" fillId="0" borderId="15" xfId="0" applyFont="1" applyBorder="1" applyAlignment="1">
      <alignment vertical="center" textRotation="90" wrapText="1"/>
    </xf>
    <xf numFmtId="0" fontId="20" fillId="0" borderId="13" xfId="0" applyFont="1" applyBorder="1" applyAlignment="1">
      <alignment vertical="center" textRotation="90" wrapText="1"/>
    </xf>
    <xf numFmtId="0" fontId="20" fillId="0" borderId="15" xfId="0" applyFont="1" applyBorder="1" applyAlignment="1">
      <alignment vertical="center" wrapText="1"/>
    </xf>
    <xf numFmtId="0" fontId="17" fillId="0" borderId="17" xfId="0" applyFont="1" applyBorder="1" applyAlignment="1">
      <alignment vertical="center" textRotation="90" wrapText="1"/>
    </xf>
    <xf numFmtId="0" fontId="17" fillId="0" borderId="15" xfId="0" applyFont="1" applyBorder="1" applyAlignment="1">
      <alignment vertical="center" textRotation="90" wrapText="1"/>
    </xf>
    <xf numFmtId="0" fontId="17" fillId="0" borderId="13" xfId="0" applyFont="1" applyBorder="1" applyAlignment="1">
      <alignment vertical="center" textRotation="90" wrapText="1"/>
    </xf>
    <xf numFmtId="0" fontId="17" fillId="0" borderId="2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3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5" fillId="7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9966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12" Type="http://schemas.openxmlformats.org/officeDocument/2006/relationships/image" Target="../media/image12.w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0" Type="http://schemas.openxmlformats.org/officeDocument/2006/relationships/image" Target="../media/image10.wmf"/><Relationship Id="rId4" Type="http://schemas.openxmlformats.org/officeDocument/2006/relationships/image" Target="../media/image4.emf"/><Relationship Id="rId9" Type="http://schemas.openxmlformats.org/officeDocument/2006/relationships/image" Target="../media/image9.wmf"/><Relationship Id="rId1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106680</xdr:colOff>
          <xdr:row>44</xdr:row>
          <xdr:rowOff>22860</xdr:rowOff>
        </xdr:from>
        <xdr:to>
          <xdr:col>7</xdr:col>
          <xdr:colOff>259080</xdr:colOff>
          <xdr:row>47</xdr:row>
          <xdr:rowOff>182880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525780</xdr:colOff>
          <xdr:row>47</xdr:row>
          <xdr:rowOff>190500</xdr:rowOff>
        </xdr:from>
        <xdr:to>
          <xdr:col>7</xdr:col>
          <xdr:colOff>83820</xdr:colOff>
          <xdr:row>52</xdr:row>
          <xdr:rowOff>114300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327660</xdr:colOff>
          <xdr:row>96</xdr:row>
          <xdr:rowOff>114300</xdr:rowOff>
        </xdr:from>
        <xdr:to>
          <xdr:col>4</xdr:col>
          <xdr:colOff>144780</xdr:colOff>
          <xdr:row>98</xdr:row>
          <xdr:rowOff>175260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335280</xdr:colOff>
          <xdr:row>94</xdr:row>
          <xdr:rowOff>83820</xdr:rowOff>
        </xdr:from>
        <xdr:to>
          <xdr:col>5</xdr:col>
          <xdr:colOff>99060</xdr:colOff>
          <xdr:row>96</xdr:row>
          <xdr:rowOff>99060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92</xdr:row>
          <xdr:rowOff>121920</xdr:rowOff>
        </xdr:from>
        <xdr:to>
          <xdr:col>6</xdr:col>
          <xdr:colOff>495300</xdr:colOff>
          <xdr:row>94</xdr:row>
          <xdr:rowOff>68580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112568</xdr:colOff>
      <xdr:row>10</xdr:row>
      <xdr:rowOff>381000</xdr:rowOff>
    </xdr:from>
    <xdr:to>
      <xdr:col>4</xdr:col>
      <xdr:colOff>550718</xdr:colOff>
      <xdr:row>12</xdr:row>
      <xdr:rowOff>126423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068" y="2286000"/>
          <a:ext cx="1051983" cy="391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69273</xdr:colOff>
      <xdr:row>17</xdr:row>
      <xdr:rowOff>207817</xdr:rowOff>
    </xdr:from>
    <xdr:to>
      <xdr:col>9</xdr:col>
      <xdr:colOff>126423</xdr:colOff>
      <xdr:row>22</xdr:row>
      <xdr:rowOff>95249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5114" y="3446317"/>
          <a:ext cx="3693968" cy="943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52</xdr:row>
          <xdr:rowOff>76200</xdr:rowOff>
        </xdr:from>
        <xdr:to>
          <xdr:col>7</xdr:col>
          <xdr:colOff>144780</xdr:colOff>
          <xdr:row>56</xdr:row>
          <xdr:rowOff>68580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563880</xdr:colOff>
          <xdr:row>56</xdr:row>
          <xdr:rowOff>99060</xdr:rowOff>
        </xdr:from>
        <xdr:to>
          <xdr:col>7</xdr:col>
          <xdr:colOff>121920</xdr:colOff>
          <xdr:row>59</xdr:row>
          <xdr:rowOff>160020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533400</xdr:colOff>
          <xdr:row>60</xdr:row>
          <xdr:rowOff>266700</xdr:rowOff>
        </xdr:from>
        <xdr:to>
          <xdr:col>7</xdr:col>
          <xdr:colOff>60960</xdr:colOff>
          <xdr:row>64</xdr:row>
          <xdr:rowOff>38100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106680</xdr:colOff>
          <xdr:row>64</xdr:row>
          <xdr:rowOff>45720</xdr:rowOff>
        </xdr:from>
        <xdr:to>
          <xdr:col>5</xdr:col>
          <xdr:colOff>480060</xdr:colOff>
          <xdr:row>66</xdr:row>
          <xdr:rowOff>160020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480060</xdr:colOff>
          <xdr:row>72</xdr:row>
          <xdr:rowOff>251460</xdr:rowOff>
        </xdr:from>
        <xdr:to>
          <xdr:col>5</xdr:col>
          <xdr:colOff>228600</xdr:colOff>
          <xdr:row>74</xdr:row>
          <xdr:rowOff>160020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</xdr:colOff>
          <xdr:row>75</xdr:row>
          <xdr:rowOff>30480</xdr:rowOff>
        </xdr:from>
        <xdr:to>
          <xdr:col>8</xdr:col>
          <xdr:colOff>365760</xdr:colOff>
          <xdr:row>77</xdr:row>
          <xdr:rowOff>152400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129886</xdr:colOff>
      <xdr:row>86</xdr:row>
      <xdr:rowOff>112570</xdr:rowOff>
    </xdr:from>
    <xdr:to>
      <xdr:col>4</xdr:col>
      <xdr:colOff>571501</xdr:colOff>
      <xdr:row>88</xdr:row>
      <xdr:rowOff>116030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5727" y="15915411"/>
          <a:ext cx="1047751" cy="384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594360</xdr:colOff>
          <xdr:row>88</xdr:row>
          <xdr:rowOff>99060</xdr:rowOff>
        </xdr:from>
        <xdr:to>
          <xdr:col>5</xdr:col>
          <xdr:colOff>312420</xdr:colOff>
          <xdr:row>90</xdr:row>
          <xdr:rowOff>114300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</xdr:colOff>
          <xdr:row>90</xdr:row>
          <xdr:rowOff>83820</xdr:rowOff>
        </xdr:from>
        <xdr:to>
          <xdr:col>4</xdr:col>
          <xdr:colOff>114300</xdr:colOff>
          <xdr:row>92</xdr:row>
          <xdr:rowOff>144780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822960</xdr:colOff>
          <xdr:row>78</xdr:row>
          <xdr:rowOff>0</xdr:rowOff>
        </xdr:from>
        <xdr:to>
          <xdr:col>7</xdr:col>
          <xdr:colOff>533400</xdr:colOff>
          <xdr:row>80</xdr:row>
          <xdr:rowOff>60960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160020</xdr:colOff>
          <xdr:row>8</xdr:row>
          <xdr:rowOff>175260</xdr:rowOff>
        </xdr:from>
        <xdr:to>
          <xdr:col>9</xdr:col>
          <xdr:colOff>441960</xdr:colOff>
          <xdr:row>13</xdr:row>
          <xdr:rowOff>137160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175260</xdr:rowOff>
    </xdr:from>
    <xdr:to>
      <xdr:col>12</xdr:col>
      <xdr:colOff>368345</xdr:colOff>
      <xdr:row>29</xdr:row>
      <xdr:rowOff>7619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" y="175260"/>
          <a:ext cx="7500665" cy="5135879"/>
        </a:xfrm>
        <a:prstGeom prst="rect">
          <a:avLst/>
        </a:prstGeom>
      </xdr:spPr>
    </xdr:pic>
    <xdr:clientData/>
  </xdr:twoCellAnchor>
  <xdr:twoCellAnchor editAs="oneCell">
    <xdr:from>
      <xdr:col>0</xdr:col>
      <xdr:colOff>127426</xdr:colOff>
      <xdr:row>31</xdr:row>
      <xdr:rowOff>144780</xdr:rowOff>
    </xdr:from>
    <xdr:to>
      <xdr:col>14</xdr:col>
      <xdr:colOff>350520</xdr:colOff>
      <xdr:row>97</xdr:row>
      <xdr:rowOff>152261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426" y="5814060"/>
          <a:ext cx="8757494" cy="120775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45720</xdr:rowOff>
    </xdr:from>
    <xdr:to>
      <xdr:col>21</xdr:col>
      <xdr:colOff>55543</xdr:colOff>
      <xdr:row>20</xdr:row>
      <xdr:rowOff>68166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7680"/>
          <a:ext cx="12857143" cy="3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5" Type="http://schemas.openxmlformats.org/officeDocument/2006/relationships/image" Target="../media/image11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w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wmf"/><Relationship Id="rId23" Type="http://schemas.openxmlformats.org/officeDocument/2006/relationships/image" Target="../media/image10.w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wmf"/><Relationship Id="rId30" Type="http://schemas.openxmlformats.org/officeDocument/2006/relationships/oleObject" Target="../embeddings/oleObject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18.wmf"/><Relationship Id="rId4" Type="http://schemas.openxmlformats.org/officeDocument/2006/relationships/oleObject" Target="../embeddings/oleObject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U100"/>
  <sheetViews>
    <sheetView topLeftCell="A58" zoomScaleNormal="100" workbookViewId="0">
      <selection activeCell="C66" sqref="C66"/>
    </sheetView>
  </sheetViews>
  <sheetFormatPr defaultRowHeight="14.4" x14ac:dyDescent="0.3"/>
  <cols>
    <col min="1" max="1" width="59.44140625" customWidth="1"/>
    <col min="2" max="2" width="15.6640625" bestFit="1" customWidth="1"/>
    <col min="3" max="3" width="12" bestFit="1" customWidth="1"/>
  </cols>
  <sheetData>
    <row r="4" spans="1:10" x14ac:dyDescent="0.3">
      <c r="A4" s="19"/>
      <c r="B4" s="65" t="s">
        <v>153</v>
      </c>
      <c r="C4" s="66"/>
    </row>
    <row r="5" spans="1:10" x14ac:dyDescent="0.3">
      <c r="A5" s="19" t="s">
        <v>77</v>
      </c>
      <c r="B5" s="20" t="s">
        <v>35</v>
      </c>
      <c r="C5" s="21">
        <v>128</v>
      </c>
    </row>
    <row r="6" spans="1:10" x14ac:dyDescent="0.3">
      <c r="A6" s="19" t="s">
        <v>45</v>
      </c>
      <c r="B6" s="20" t="s">
        <v>36</v>
      </c>
      <c r="C6" s="21">
        <f>Розрахунки!C74</f>
        <v>303.43115988174344</v>
      </c>
    </row>
    <row r="7" spans="1:10" x14ac:dyDescent="0.3">
      <c r="A7" s="19" t="s">
        <v>76</v>
      </c>
      <c r="B7" s="20" t="s">
        <v>44</v>
      </c>
      <c r="C7" s="21">
        <v>130</v>
      </c>
      <c r="F7" s="19" t="s">
        <v>155</v>
      </c>
      <c r="G7" s="19"/>
      <c r="H7" s="19"/>
      <c r="I7" s="19"/>
      <c r="J7" s="19"/>
    </row>
    <row r="8" spans="1:10" x14ac:dyDescent="0.3">
      <c r="A8" s="19"/>
      <c r="B8" s="20" t="s">
        <v>0</v>
      </c>
      <c r="C8" s="21">
        <v>750</v>
      </c>
    </row>
    <row r="9" spans="1:10" x14ac:dyDescent="0.3">
      <c r="A9" s="19" t="s">
        <v>41</v>
      </c>
      <c r="B9" s="22" t="s">
        <v>102</v>
      </c>
      <c r="C9" s="21">
        <v>75</v>
      </c>
    </row>
    <row r="10" spans="1:10" x14ac:dyDescent="0.3">
      <c r="A10" s="19" t="s">
        <v>38</v>
      </c>
      <c r="B10" s="23" t="s">
        <v>103</v>
      </c>
      <c r="C10" s="24">
        <v>1</v>
      </c>
    </row>
    <row r="11" spans="1:10" ht="36" customHeight="1" x14ac:dyDescent="0.3">
      <c r="B11" s="70" t="s">
        <v>152</v>
      </c>
      <c r="C11" s="70"/>
    </row>
    <row r="12" spans="1:10" x14ac:dyDescent="0.3">
      <c r="A12" s="6" t="s">
        <v>39</v>
      </c>
      <c r="B12" s="6" t="s">
        <v>104</v>
      </c>
      <c r="C12" s="6">
        <f>(C7-C5)/2</f>
        <v>1</v>
      </c>
      <c r="F12" s="64" t="s">
        <v>156</v>
      </c>
      <c r="G12" s="64"/>
      <c r="H12" s="64"/>
      <c r="I12" s="64"/>
      <c r="J12" s="64"/>
    </row>
    <row r="13" spans="1:10" ht="15.6" x14ac:dyDescent="0.3">
      <c r="A13" t="s">
        <v>78</v>
      </c>
      <c r="B13" t="s">
        <v>105</v>
      </c>
      <c r="C13">
        <v>7.6</v>
      </c>
    </row>
    <row r="14" spans="1:10" x14ac:dyDescent="0.3">
      <c r="A14" t="s">
        <v>75</v>
      </c>
      <c r="B14" t="s">
        <v>1</v>
      </c>
      <c r="C14">
        <f>C6/C7</f>
        <v>2.3340858452441804</v>
      </c>
    </row>
    <row r="15" spans="1:10" x14ac:dyDescent="0.3">
      <c r="B15" s="1" t="s">
        <v>2</v>
      </c>
      <c r="C15">
        <v>90</v>
      </c>
    </row>
    <row r="16" spans="1:10" x14ac:dyDescent="0.3">
      <c r="A16" t="s">
        <v>40</v>
      </c>
      <c r="B16" s="1" t="s">
        <v>106</v>
      </c>
      <c r="C16">
        <v>10</v>
      </c>
    </row>
    <row r="17" spans="1:15" x14ac:dyDescent="0.3">
      <c r="A17" t="s">
        <v>42</v>
      </c>
      <c r="B17" s="1" t="s">
        <v>107</v>
      </c>
      <c r="C17">
        <f>180-(C15+C16)</f>
        <v>80</v>
      </c>
    </row>
    <row r="18" spans="1:15" ht="18" x14ac:dyDescent="0.35">
      <c r="A18" t="s">
        <v>43</v>
      </c>
      <c r="B18" t="s">
        <v>108</v>
      </c>
      <c r="C18">
        <v>4.5</v>
      </c>
      <c r="D18" s="2" t="s">
        <v>90</v>
      </c>
    </row>
    <row r="19" spans="1:15" ht="18" x14ac:dyDescent="0.35">
      <c r="D19" s="2"/>
    </row>
    <row r="20" spans="1:15" x14ac:dyDescent="0.3">
      <c r="A20" t="s">
        <v>74</v>
      </c>
      <c r="B20" t="s">
        <v>112</v>
      </c>
      <c r="C20">
        <v>0.6</v>
      </c>
    </row>
    <row r="21" spans="1:15" x14ac:dyDescent="0.3">
      <c r="A21" t="s">
        <v>79</v>
      </c>
      <c r="B21" t="s">
        <v>111</v>
      </c>
      <c r="C21">
        <f>C12*C20</f>
        <v>0.6</v>
      </c>
    </row>
    <row r="22" spans="1:15" x14ac:dyDescent="0.3">
      <c r="A22" s="4" t="s">
        <v>135</v>
      </c>
      <c r="B22" t="s">
        <v>109</v>
      </c>
      <c r="C22">
        <v>20</v>
      </c>
    </row>
    <row r="23" spans="1:15" x14ac:dyDescent="0.3">
      <c r="A23" s="5" t="s">
        <v>136</v>
      </c>
      <c r="B23" t="s">
        <v>110</v>
      </c>
      <c r="C23">
        <v>25</v>
      </c>
    </row>
    <row r="24" spans="1:15" x14ac:dyDescent="0.3">
      <c r="A24" s="67" t="s">
        <v>101</v>
      </c>
      <c r="B24" s="1" t="s">
        <v>3</v>
      </c>
      <c r="C24">
        <v>300</v>
      </c>
    </row>
    <row r="25" spans="1:15" x14ac:dyDescent="0.3">
      <c r="A25" s="67"/>
      <c r="B25" t="s">
        <v>4</v>
      </c>
      <c r="C25">
        <v>1</v>
      </c>
    </row>
    <row r="26" spans="1:15" x14ac:dyDescent="0.3">
      <c r="A26" s="67"/>
      <c r="B26" t="s">
        <v>5</v>
      </c>
      <c r="C26">
        <v>0.75</v>
      </c>
    </row>
    <row r="27" spans="1:15" x14ac:dyDescent="0.3">
      <c r="A27" s="67"/>
      <c r="B27" t="s">
        <v>6</v>
      </c>
      <c r="C27">
        <v>-0.15</v>
      </c>
      <c r="F27" s="18" t="s">
        <v>159</v>
      </c>
      <c r="G27" s="18"/>
      <c r="H27" s="18"/>
      <c r="I27" s="18"/>
      <c r="J27" s="18"/>
      <c r="K27" s="18"/>
      <c r="L27" s="18"/>
      <c r="M27" s="18"/>
      <c r="N27" s="18"/>
      <c r="O27" s="18"/>
    </row>
    <row r="28" spans="1:15" x14ac:dyDescent="0.3">
      <c r="A28" s="16" t="s">
        <v>131</v>
      </c>
      <c r="B28" t="s">
        <v>7</v>
      </c>
      <c r="C28">
        <f>C29*C30*C31*C33</f>
        <v>1.0234999999999999</v>
      </c>
    </row>
    <row r="29" spans="1:15" x14ac:dyDescent="0.3">
      <c r="A29" s="67" t="s">
        <v>132</v>
      </c>
      <c r="B29" t="s">
        <v>8</v>
      </c>
      <c r="C29">
        <v>0.89</v>
      </c>
    </row>
    <row r="30" spans="1:15" x14ac:dyDescent="0.3">
      <c r="A30" s="67"/>
      <c r="B30" t="s">
        <v>9</v>
      </c>
      <c r="C30">
        <v>1.1499999999999999</v>
      </c>
    </row>
    <row r="31" spans="1:15" x14ac:dyDescent="0.3">
      <c r="A31" s="67"/>
      <c r="B31" t="s">
        <v>10</v>
      </c>
      <c r="C31">
        <v>1</v>
      </c>
    </row>
    <row r="32" spans="1:15" x14ac:dyDescent="0.3">
      <c r="A32" s="67"/>
      <c r="B32" t="s">
        <v>11</v>
      </c>
      <c r="C32">
        <v>1</v>
      </c>
    </row>
    <row r="33" spans="1:15" ht="28.8" x14ac:dyDescent="0.3">
      <c r="A33" s="17" t="s">
        <v>133</v>
      </c>
      <c r="B33" t="s">
        <v>12</v>
      </c>
      <c r="C33">
        <f>(C8/750)^0.75</f>
        <v>1</v>
      </c>
    </row>
    <row r="34" spans="1:15" x14ac:dyDescent="0.3">
      <c r="A34" s="69" t="s">
        <v>134</v>
      </c>
      <c r="B34" t="s">
        <v>13</v>
      </c>
      <c r="C34">
        <v>350</v>
      </c>
    </row>
    <row r="35" spans="1:15" x14ac:dyDescent="0.3">
      <c r="A35" s="69"/>
      <c r="B35" t="s">
        <v>14</v>
      </c>
      <c r="C35">
        <v>0.15</v>
      </c>
      <c r="F35" s="41" t="s">
        <v>205</v>
      </c>
      <c r="G35" s="41"/>
      <c r="H35" s="41"/>
      <c r="I35" s="41"/>
      <c r="J35" s="41"/>
      <c r="K35" s="41"/>
      <c r="L35" s="41"/>
      <c r="M35" s="41"/>
      <c r="N35" s="41"/>
      <c r="O35" s="41"/>
    </row>
    <row r="36" spans="1:15" x14ac:dyDescent="0.3">
      <c r="A36" s="69"/>
      <c r="B36" t="s">
        <v>15</v>
      </c>
      <c r="C36">
        <v>0.35</v>
      </c>
    </row>
    <row r="37" spans="1:15" x14ac:dyDescent="0.3">
      <c r="A37" s="69"/>
      <c r="B37" t="s">
        <v>16</v>
      </c>
      <c r="C37">
        <v>0.2</v>
      </c>
    </row>
    <row r="38" spans="1:15" x14ac:dyDescent="0.3">
      <c r="A38" s="68" t="s">
        <v>130</v>
      </c>
    </row>
    <row r="39" spans="1:15" x14ac:dyDescent="0.3">
      <c r="A39" s="68"/>
      <c r="B39" t="s">
        <v>17</v>
      </c>
      <c r="C39">
        <f>(750/C8)^C44</f>
        <v>1</v>
      </c>
    </row>
    <row r="40" spans="1:15" x14ac:dyDescent="0.3">
      <c r="A40" s="68" t="s">
        <v>129</v>
      </c>
      <c r="B40" t="s">
        <v>18</v>
      </c>
      <c r="C40">
        <v>0.65</v>
      </c>
    </row>
    <row r="41" spans="1:15" x14ac:dyDescent="0.3">
      <c r="A41" s="68"/>
    </row>
    <row r="42" spans="1:15" ht="33.6" customHeight="1" x14ac:dyDescent="0.3">
      <c r="A42" s="49" t="s">
        <v>129</v>
      </c>
      <c r="B42" t="s">
        <v>19</v>
      </c>
      <c r="C42">
        <v>0.8</v>
      </c>
    </row>
    <row r="43" spans="1:15" x14ac:dyDescent="0.3">
      <c r="B43" t="s">
        <v>20</v>
      </c>
      <c r="C43">
        <f>C39*C40*C42</f>
        <v>0.52</v>
      </c>
    </row>
    <row r="44" spans="1:15" x14ac:dyDescent="0.3">
      <c r="B44" t="s">
        <v>21</v>
      </c>
      <c r="C44">
        <v>1</v>
      </c>
    </row>
    <row r="46" spans="1:15" x14ac:dyDescent="0.3">
      <c r="A46" t="s">
        <v>50</v>
      </c>
      <c r="B46" t="s">
        <v>116</v>
      </c>
      <c r="C46">
        <f>(C22*C23^2*490/(60*C24*C48*C12^C25*C28*C47))^(1/0.75)</f>
        <v>45.347017133040474</v>
      </c>
    </row>
    <row r="47" spans="1:15" x14ac:dyDescent="0.3">
      <c r="A47" t="s">
        <v>80</v>
      </c>
      <c r="B47" t="s">
        <v>117</v>
      </c>
      <c r="C47">
        <f>1.5*C23</f>
        <v>37.5</v>
      </c>
    </row>
    <row r="48" spans="1:15" x14ac:dyDescent="0.3">
      <c r="B48" t="s">
        <v>22</v>
      </c>
      <c r="C48">
        <f>(C34*C43/(C49^0.2))^C27</f>
        <v>0.50734446821319645</v>
      </c>
    </row>
    <row r="49" spans="1:5" x14ac:dyDescent="0.3">
      <c r="A49" t="s">
        <v>81</v>
      </c>
      <c r="B49" t="s">
        <v>115</v>
      </c>
      <c r="C49">
        <v>30</v>
      </c>
    </row>
    <row r="51" spans="1:5" x14ac:dyDescent="0.3">
      <c r="A51" t="s">
        <v>49</v>
      </c>
      <c r="B51" t="s">
        <v>114</v>
      </c>
      <c r="C51">
        <f>(C52*C53*C22*C23^3/(40*C24*C48*C12^C25*C28*C47^3))^(1/0.75)</f>
        <v>50.771374651455936</v>
      </c>
      <c r="D51" t="s">
        <v>37</v>
      </c>
    </row>
    <row r="52" spans="1:5" x14ac:dyDescent="0.3">
      <c r="A52" t="s">
        <v>47</v>
      </c>
      <c r="B52" t="s">
        <v>23</v>
      </c>
      <c r="C52">
        <v>0.1</v>
      </c>
    </row>
    <row r="53" spans="1:5" x14ac:dyDescent="0.3">
      <c r="A53" t="s">
        <v>82</v>
      </c>
      <c r="B53" t="s">
        <v>113</v>
      </c>
      <c r="C53">
        <f>2*10^5</f>
        <v>200000</v>
      </c>
    </row>
    <row r="55" spans="1:5" ht="20.399999999999999" x14ac:dyDescent="0.3">
      <c r="A55" t="s">
        <v>48</v>
      </c>
      <c r="B55" t="s">
        <v>118</v>
      </c>
      <c r="C55">
        <f>(340*C56^1.35*0.866^0.8/(10*C24*C48*C12^(C25-0.77)*C28))^(1/0.75)</f>
        <v>1.8692502506582773</v>
      </c>
      <c r="D55" s="3" t="s">
        <v>91</v>
      </c>
    </row>
    <row r="56" spans="1:5" x14ac:dyDescent="0.3">
      <c r="A56" t="s">
        <v>83</v>
      </c>
      <c r="B56" t="s">
        <v>119</v>
      </c>
      <c r="C56">
        <v>4.76</v>
      </c>
    </row>
    <row r="58" spans="1:5" ht="20.399999999999999" x14ac:dyDescent="0.3">
      <c r="A58" t="s">
        <v>84</v>
      </c>
      <c r="B58" t="s">
        <v>120</v>
      </c>
      <c r="C58">
        <f>(C59*C60*C53*C61/(11*C24*C48*C12^C25*C28*C6^3))^(1/0.75)</f>
        <v>4378.9281394698846</v>
      </c>
      <c r="D58" s="3" t="s">
        <v>92</v>
      </c>
    </row>
    <row r="59" spans="1:5" x14ac:dyDescent="0.3">
      <c r="A59" t="s">
        <v>85</v>
      </c>
      <c r="B59" t="s">
        <v>24</v>
      </c>
      <c r="C59">
        <v>0.2</v>
      </c>
    </row>
    <row r="60" spans="1:5" x14ac:dyDescent="0.3">
      <c r="A60" t="s">
        <v>51</v>
      </c>
      <c r="B60" s="1" t="s">
        <v>25</v>
      </c>
      <c r="C60">
        <v>48</v>
      </c>
    </row>
    <row r="61" spans="1:5" ht="20.399999999999999" x14ac:dyDescent="0.3">
      <c r="A61" t="s">
        <v>52</v>
      </c>
      <c r="B61" t="s">
        <v>26</v>
      </c>
      <c r="C61">
        <f>0.05*C5^4</f>
        <v>13421772.800000001</v>
      </c>
      <c r="E61" s="3" t="s">
        <v>93</v>
      </c>
    </row>
    <row r="63" spans="1:5" ht="20.399999999999999" x14ac:dyDescent="0.3">
      <c r="A63" t="s">
        <v>53</v>
      </c>
      <c r="B63" t="s">
        <v>122</v>
      </c>
      <c r="C63">
        <f>(C64/(4*C24*C48*C12^C25*C28))^(1/0.75)</f>
        <v>10.366702552987656</v>
      </c>
      <c r="D63" s="3" t="s">
        <v>94</v>
      </c>
    </row>
    <row r="64" spans="1:5" x14ac:dyDescent="0.3">
      <c r="A64" t="s">
        <v>54</v>
      </c>
      <c r="B64" t="s">
        <v>121</v>
      </c>
      <c r="C64">
        <v>3600</v>
      </c>
    </row>
    <row r="66" spans="1:17" x14ac:dyDescent="0.3">
      <c r="A66" t="s">
        <v>141</v>
      </c>
      <c r="B66" t="s">
        <v>123</v>
      </c>
      <c r="C66">
        <f>(C67*C72^C68*C10^C69/(C12^C70*(C15*C16)^C71))</f>
        <v>3.4153175552906085</v>
      </c>
    </row>
    <row r="67" spans="1:17" x14ac:dyDescent="0.3">
      <c r="A67" s="51" t="s">
        <v>86</v>
      </c>
      <c r="B67" t="s">
        <v>27</v>
      </c>
      <c r="C67">
        <v>0.08</v>
      </c>
      <c r="H67" s="51" t="s">
        <v>206</v>
      </c>
      <c r="I67" s="51"/>
      <c r="J67" s="51"/>
      <c r="K67" s="51"/>
      <c r="L67" s="51"/>
      <c r="M67" s="51"/>
      <c r="N67" s="51"/>
      <c r="O67" s="51"/>
      <c r="P67" s="51"/>
      <c r="Q67" s="51"/>
    </row>
    <row r="68" spans="1:17" x14ac:dyDescent="0.3">
      <c r="A68" s="51" t="s">
        <v>89</v>
      </c>
      <c r="B68" t="s">
        <v>28</v>
      </c>
      <c r="C68">
        <v>1.4</v>
      </c>
    </row>
    <row r="69" spans="1:17" x14ac:dyDescent="0.3">
      <c r="A69" s="51"/>
      <c r="B69" t="s">
        <v>29</v>
      </c>
      <c r="C69">
        <v>0.7</v>
      </c>
    </row>
    <row r="70" spans="1:17" x14ac:dyDescent="0.3">
      <c r="A70" s="51"/>
      <c r="B70" t="s">
        <v>30</v>
      </c>
      <c r="C70">
        <v>0.3</v>
      </c>
    </row>
    <row r="71" spans="1:17" x14ac:dyDescent="0.3">
      <c r="A71" s="51"/>
      <c r="B71" t="s">
        <v>31</v>
      </c>
      <c r="C71">
        <v>0.35</v>
      </c>
    </row>
    <row r="72" spans="1:17" x14ac:dyDescent="0.3">
      <c r="A72" t="s">
        <v>88</v>
      </c>
      <c r="B72" t="s">
        <v>87</v>
      </c>
      <c r="C72">
        <v>80</v>
      </c>
    </row>
    <row r="73" spans="1:17" ht="20.399999999999999" x14ac:dyDescent="0.45">
      <c r="A73" t="s">
        <v>55</v>
      </c>
      <c r="B73" t="s">
        <v>124</v>
      </c>
      <c r="C73">
        <f>MIN(C46,C51,C55,C58,C63,C66)</f>
        <v>1.8692502506582773</v>
      </c>
      <c r="D73" s="2" t="s">
        <v>96</v>
      </c>
    </row>
    <row r="74" spans="1:17" ht="20.399999999999999" x14ac:dyDescent="0.3">
      <c r="A74" t="s">
        <v>57</v>
      </c>
      <c r="B74" t="s">
        <v>125</v>
      </c>
      <c r="C74">
        <f>(1000*C34*C43/(C49^C37*C75^C36*C12^C35*3.14*C7))</f>
        <v>303.43115988174344</v>
      </c>
      <c r="D74" s="3" t="s">
        <v>95</v>
      </c>
    </row>
    <row r="75" spans="1:17" x14ac:dyDescent="0.3">
      <c r="A75" t="s">
        <v>56</v>
      </c>
      <c r="B75" t="s">
        <v>126</v>
      </c>
      <c r="C75">
        <v>0.43</v>
      </c>
    </row>
    <row r="77" spans="1:17" ht="20.399999999999999" x14ac:dyDescent="0.3">
      <c r="A77" t="s">
        <v>58</v>
      </c>
      <c r="B77" t="s">
        <v>59</v>
      </c>
      <c r="C77">
        <f>(C13*C83*60*1020*1000/(10*C24*C48*C12^C25*C28*3.14*C7*C84))^(1/0.75)</f>
        <v>1.4624792890443026</v>
      </c>
      <c r="D77" s="3" t="s">
        <v>97</v>
      </c>
    </row>
    <row r="78" spans="1:17" ht="18" x14ac:dyDescent="0.3">
      <c r="D78" s="3"/>
    </row>
    <row r="79" spans="1:17" ht="18" x14ac:dyDescent="0.3">
      <c r="A79" s="58" t="s">
        <v>227</v>
      </c>
      <c r="B79" t="s">
        <v>228</v>
      </c>
      <c r="C79">
        <f>(C13*C83*60*1020/(10*C24*C12^C25*C77^C26*(3.14*C7/1000)))^(1/(1-C27))</f>
        <v>112.50406636434096</v>
      </c>
      <c r="D79" s="3"/>
    </row>
    <row r="80" spans="1:17" ht="18" x14ac:dyDescent="0.3">
      <c r="A80" s="50"/>
      <c r="D80" s="3"/>
    </row>
    <row r="81" spans="1:21" ht="25.95" customHeight="1" x14ac:dyDescent="0.3">
      <c r="A81" s="59" t="s">
        <v>229</v>
      </c>
      <c r="B81" t="s">
        <v>230</v>
      </c>
      <c r="C81">
        <v>100</v>
      </c>
      <c r="D81" s="3"/>
      <c r="H81" s="63" t="s">
        <v>216</v>
      </c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</row>
    <row r="82" spans="1:21" ht="25.95" customHeight="1" x14ac:dyDescent="0.3">
      <c r="A82" s="59" t="s">
        <v>231</v>
      </c>
      <c r="B82" t="s">
        <v>232</v>
      </c>
      <c r="C82">
        <v>10</v>
      </c>
      <c r="D82" s="3"/>
    </row>
    <row r="83" spans="1:21" x14ac:dyDescent="0.3">
      <c r="A83" t="s">
        <v>46</v>
      </c>
      <c r="B83" s="1" t="s">
        <v>32</v>
      </c>
      <c r="C83">
        <v>0.8</v>
      </c>
    </row>
    <row r="84" spans="1:21" x14ac:dyDescent="0.3">
      <c r="A84" s="6" t="s">
        <v>137</v>
      </c>
      <c r="B84" t="s">
        <v>60</v>
      </c>
      <c r="C84">
        <v>440</v>
      </c>
      <c r="H84" s="52" t="s">
        <v>216</v>
      </c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</row>
    <row r="85" spans="1:21" ht="20.399999999999999" x14ac:dyDescent="0.45">
      <c r="A85" s="6" t="s">
        <v>138</v>
      </c>
      <c r="B85" t="s">
        <v>127</v>
      </c>
      <c r="C85">
        <f>MIN(C75,C75)</f>
        <v>0.43</v>
      </c>
      <c r="D85" s="2" t="s">
        <v>98</v>
      </c>
    </row>
    <row r="86" spans="1:21" ht="20.399999999999999" x14ac:dyDescent="0.45">
      <c r="A86" s="6" t="s">
        <v>61</v>
      </c>
      <c r="B86" t="s">
        <v>128</v>
      </c>
      <c r="C86">
        <f>C84*C85</f>
        <v>189.2</v>
      </c>
      <c r="D86" s="2" t="s">
        <v>99</v>
      </c>
    </row>
    <row r="88" spans="1:21" x14ac:dyDescent="0.3">
      <c r="A88" s="6" t="s">
        <v>62</v>
      </c>
      <c r="B88" s="6" t="s">
        <v>72</v>
      </c>
      <c r="C88" s="6">
        <f>3.14*C7*C84/1000</f>
        <v>179.608</v>
      </c>
    </row>
    <row r="90" spans="1:21" ht="20.399999999999999" x14ac:dyDescent="0.45">
      <c r="A90" t="s">
        <v>63</v>
      </c>
      <c r="B90" t="s">
        <v>71</v>
      </c>
      <c r="C90">
        <f>(C34*C43/(C88*C75^C36*C12^C35))^(1/C37)</f>
        <v>4.6790615525831916</v>
      </c>
      <c r="D90" s="2" t="s">
        <v>100</v>
      </c>
    </row>
    <row r="92" spans="1:21" x14ac:dyDescent="0.3">
      <c r="A92" t="s">
        <v>64</v>
      </c>
      <c r="B92" t="s">
        <v>33</v>
      </c>
      <c r="C92">
        <f>C90/C49</f>
        <v>0.15596871841943971</v>
      </c>
    </row>
    <row r="94" spans="1:21" x14ac:dyDescent="0.3">
      <c r="A94" t="s">
        <v>65</v>
      </c>
      <c r="B94" t="s">
        <v>69</v>
      </c>
      <c r="C94">
        <f>10*C24*C12^C25*C75^C26*C88^(C27)*C28</f>
        <v>748.44793049477073</v>
      </c>
    </row>
    <row r="96" spans="1:21" x14ac:dyDescent="0.3">
      <c r="A96" s="6" t="s">
        <v>66</v>
      </c>
      <c r="B96" s="6" t="s">
        <v>70</v>
      </c>
      <c r="C96">
        <f>C94*C88/(60*1020)</f>
        <v>2.1965234624232806</v>
      </c>
      <c r="D96" t="s">
        <v>73</v>
      </c>
    </row>
    <row r="98" spans="1:4" x14ac:dyDescent="0.3">
      <c r="A98" t="s">
        <v>67</v>
      </c>
      <c r="B98" t="s">
        <v>34</v>
      </c>
      <c r="C98">
        <f>C96/(C13*C83)</f>
        <v>0.36127030631961848</v>
      </c>
      <c r="D98" t="s">
        <v>68</v>
      </c>
    </row>
    <row r="100" spans="1:4" x14ac:dyDescent="0.3">
      <c r="A100" s="6" t="s">
        <v>139</v>
      </c>
      <c r="B100" t="s">
        <v>140</v>
      </c>
      <c r="C100">
        <f>C6/C86</f>
        <v>1.6037587731593206</v>
      </c>
    </row>
  </sheetData>
  <mergeCells count="9">
    <mergeCell ref="H81:U81"/>
    <mergeCell ref="F12:J12"/>
    <mergeCell ref="B4:C4"/>
    <mergeCell ref="A24:A27"/>
    <mergeCell ref="A40:A41"/>
    <mergeCell ref="A38:A39"/>
    <mergeCell ref="A34:A37"/>
    <mergeCell ref="A29:A32"/>
    <mergeCell ref="B11:C1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26" r:id="rId4">
          <objectPr defaultSize="0" autoPict="0" r:id="rId5">
            <anchor moveWithCells="1" sizeWithCells="1">
              <from>
                <xdr:col>3</xdr:col>
                <xdr:colOff>106680</xdr:colOff>
                <xdr:row>44</xdr:row>
                <xdr:rowOff>22860</xdr:rowOff>
              </from>
              <to>
                <xdr:col>7</xdr:col>
                <xdr:colOff>259080</xdr:colOff>
                <xdr:row>47</xdr:row>
                <xdr:rowOff>182880</xdr:rowOff>
              </to>
            </anchor>
          </objectPr>
        </oleObject>
      </mc:Choice>
      <mc:Fallback>
        <oleObject progId="Equation.DSMT4" shapeId="1026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 sizeWithCells="1">
              <from>
                <xdr:col>3</xdr:col>
                <xdr:colOff>525780</xdr:colOff>
                <xdr:row>47</xdr:row>
                <xdr:rowOff>190500</xdr:rowOff>
              </from>
              <to>
                <xdr:col>7</xdr:col>
                <xdr:colOff>83820</xdr:colOff>
                <xdr:row>52</xdr:row>
                <xdr:rowOff>114300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39" r:id="rId8">
          <objectPr defaultSize="0" autoPict="0" r:id="rId9">
            <anchor moveWithCells="1" sizeWithCells="1">
              <from>
                <xdr:col>3</xdr:col>
                <xdr:colOff>327660</xdr:colOff>
                <xdr:row>96</xdr:row>
                <xdr:rowOff>114300</xdr:rowOff>
              </from>
              <to>
                <xdr:col>4</xdr:col>
                <xdr:colOff>144780</xdr:colOff>
                <xdr:row>98</xdr:row>
                <xdr:rowOff>175260</xdr:rowOff>
              </to>
            </anchor>
          </objectPr>
        </oleObject>
      </mc:Choice>
      <mc:Fallback>
        <oleObject progId="Equation.3" shapeId="1039" r:id="rId8"/>
      </mc:Fallback>
    </mc:AlternateContent>
    <mc:AlternateContent xmlns:mc="http://schemas.openxmlformats.org/markup-compatibility/2006">
      <mc:Choice Requires="x14">
        <oleObject progId="Equation.3" shapeId="1041" r:id="rId10">
          <objectPr defaultSize="0" autoPict="0" r:id="rId11">
            <anchor moveWithCells="1" sizeWithCells="1">
              <from>
                <xdr:col>3</xdr:col>
                <xdr:colOff>335280</xdr:colOff>
                <xdr:row>94</xdr:row>
                <xdr:rowOff>83820</xdr:rowOff>
              </from>
              <to>
                <xdr:col>5</xdr:col>
                <xdr:colOff>99060</xdr:colOff>
                <xdr:row>96</xdr:row>
                <xdr:rowOff>99060</xdr:rowOff>
              </to>
            </anchor>
          </objectPr>
        </oleObject>
      </mc:Choice>
      <mc:Fallback>
        <oleObject progId="Equation.3" shapeId="1041" r:id="rId10"/>
      </mc:Fallback>
    </mc:AlternateContent>
    <mc:AlternateContent xmlns:mc="http://schemas.openxmlformats.org/markup-compatibility/2006">
      <mc:Choice Requires="x14">
        <oleObject progId="Equation.DSMT4" shapeId="1042" r:id="rId12">
          <objectPr defaultSize="0" autoPict="0" r:id="rId13">
            <anchor moveWithCells="1" sizeWithCells="1">
              <from>
                <xdr:col>3</xdr:col>
                <xdr:colOff>76200</xdr:colOff>
                <xdr:row>92</xdr:row>
                <xdr:rowOff>121920</xdr:rowOff>
              </from>
              <to>
                <xdr:col>6</xdr:col>
                <xdr:colOff>495300</xdr:colOff>
                <xdr:row>94</xdr:row>
                <xdr:rowOff>68580</xdr:rowOff>
              </to>
            </anchor>
          </objectPr>
        </oleObject>
      </mc:Choice>
      <mc:Fallback>
        <oleObject progId="Equation.DSMT4" shapeId="1042" r:id="rId12"/>
      </mc:Fallback>
    </mc:AlternateContent>
    <mc:AlternateContent xmlns:mc="http://schemas.openxmlformats.org/markup-compatibility/2006">
      <mc:Choice Requires="x14">
        <oleObject progId="Equation.3" shapeId="1048" r:id="rId14">
          <objectPr defaultSize="0" autoPict="0" r:id="rId15">
            <anchor moveWithCells="1" sizeWithCells="1">
              <from>
                <xdr:col>4</xdr:col>
                <xdr:colOff>0</xdr:colOff>
                <xdr:row>52</xdr:row>
                <xdr:rowOff>76200</xdr:rowOff>
              </from>
              <to>
                <xdr:col>7</xdr:col>
                <xdr:colOff>144780</xdr:colOff>
                <xdr:row>56</xdr:row>
                <xdr:rowOff>68580</xdr:rowOff>
              </to>
            </anchor>
          </objectPr>
        </oleObject>
      </mc:Choice>
      <mc:Fallback>
        <oleObject progId="Equation.3" shapeId="1048" r:id="rId14"/>
      </mc:Fallback>
    </mc:AlternateContent>
    <mc:AlternateContent xmlns:mc="http://schemas.openxmlformats.org/markup-compatibility/2006">
      <mc:Choice Requires="x14">
        <oleObject progId="Equation.3" shapeId="1050" r:id="rId16">
          <objectPr defaultSize="0" autoPict="0" r:id="rId17">
            <anchor moveWithCells="1" sizeWithCells="1">
              <from>
                <xdr:col>3</xdr:col>
                <xdr:colOff>563880</xdr:colOff>
                <xdr:row>56</xdr:row>
                <xdr:rowOff>99060</xdr:rowOff>
              </from>
              <to>
                <xdr:col>7</xdr:col>
                <xdr:colOff>121920</xdr:colOff>
                <xdr:row>59</xdr:row>
                <xdr:rowOff>160020</xdr:rowOff>
              </to>
            </anchor>
          </objectPr>
        </oleObject>
      </mc:Choice>
      <mc:Fallback>
        <oleObject progId="Equation.3" shapeId="1050" r:id="rId16"/>
      </mc:Fallback>
    </mc:AlternateContent>
    <mc:AlternateContent xmlns:mc="http://schemas.openxmlformats.org/markup-compatibility/2006">
      <mc:Choice Requires="x14">
        <oleObject progId="Equation.3" shapeId="1053" r:id="rId18">
          <objectPr defaultSize="0" autoPict="0" r:id="rId19">
            <anchor moveWithCells="1" sizeWithCells="1">
              <from>
                <xdr:col>3</xdr:col>
                <xdr:colOff>533400</xdr:colOff>
                <xdr:row>60</xdr:row>
                <xdr:rowOff>266700</xdr:rowOff>
              </from>
              <to>
                <xdr:col>7</xdr:col>
                <xdr:colOff>60960</xdr:colOff>
                <xdr:row>64</xdr:row>
                <xdr:rowOff>38100</xdr:rowOff>
              </to>
            </anchor>
          </objectPr>
        </oleObject>
      </mc:Choice>
      <mc:Fallback>
        <oleObject progId="Equation.3" shapeId="1053" r:id="rId18"/>
      </mc:Fallback>
    </mc:AlternateContent>
    <mc:AlternateContent xmlns:mc="http://schemas.openxmlformats.org/markup-compatibility/2006">
      <mc:Choice Requires="x14">
        <oleObject progId="Equation.DSMT4" shapeId="1054" r:id="rId20">
          <objectPr defaultSize="0" autoPict="0" r:id="rId21">
            <anchor moveWithCells="1" sizeWithCells="1">
              <from>
                <xdr:col>3</xdr:col>
                <xdr:colOff>106680</xdr:colOff>
                <xdr:row>64</xdr:row>
                <xdr:rowOff>45720</xdr:rowOff>
              </from>
              <to>
                <xdr:col>5</xdr:col>
                <xdr:colOff>480060</xdr:colOff>
                <xdr:row>66</xdr:row>
                <xdr:rowOff>160020</xdr:rowOff>
              </to>
            </anchor>
          </objectPr>
        </oleObject>
      </mc:Choice>
      <mc:Fallback>
        <oleObject progId="Equation.DSMT4" shapeId="1054" r:id="rId20"/>
      </mc:Fallback>
    </mc:AlternateContent>
    <mc:AlternateContent xmlns:mc="http://schemas.openxmlformats.org/markup-compatibility/2006">
      <mc:Choice Requires="x14">
        <oleObject progId="Equation.3" shapeId="1056" r:id="rId22">
          <objectPr defaultSize="0" autoPict="0" r:id="rId23">
            <anchor moveWithCells="1" sizeWithCells="1">
              <from>
                <xdr:col>3</xdr:col>
                <xdr:colOff>480060</xdr:colOff>
                <xdr:row>72</xdr:row>
                <xdr:rowOff>251460</xdr:rowOff>
              </from>
              <to>
                <xdr:col>5</xdr:col>
                <xdr:colOff>228600</xdr:colOff>
                <xdr:row>74</xdr:row>
                <xdr:rowOff>160020</xdr:rowOff>
              </to>
            </anchor>
          </objectPr>
        </oleObject>
      </mc:Choice>
      <mc:Fallback>
        <oleObject progId="Equation.3" shapeId="1056" r:id="rId22"/>
      </mc:Fallback>
    </mc:AlternateContent>
    <mc:AlternateContent xmlns:mc="http://schemas.openxmlformats.org/markup-compatibility/2006">
      <mc:Choice Requires="x14">
        <oleObject progId="Equation.3" shapeId="1057" r:id="rId24">
          <objectPr defaultSize="0" autoPict="0" r:id="rId25">
            <anchor moveWithCells="1" sizeWithCells="1">
              <from>
                <xdr:col>4</xdr:col>
                <xdr:colOff>45720</xdr:colOff>
                <xdr:row>75</xdr:row>
                <xdr:rowOff>30480</xdr:rowOff>
              </from>
              <to>
                <xdr:col>8</xdr:col>
                <xdr:colOff>365760</xdr:colOff>
                <xdr:row>77</xdr:row>
                <xdr:rowOff>152400</xdr:rowOff>
              </to>
            </anchor>
          </objectPr>
        </oleObject>
      </mc:Choice>
      <mc:Fallback>
        <oleObject progId="Equation.3" shapeId="1057" r:id="rId24"/>
      </mc:Fallback>
    </mc:AlternateContent>
    <mc:AlternateContent xmlns:mc="http://schemas.openxmlformats.org/markup-compatibility/2006">
      <mc:Choice Requires="x14">
        <oleObject progId="Equation.3" shapeId="1059" r:id="rId26">
          <objectPr defaultSize="0" autoPict="0" r:id="rId27">
            <anchor moveWithCells="1" sizeWithCells="1">
              <from>
                <xdr:col>3</xdr:col>
                <xdr:colOff>594360</xdr:colOff>
                <xdr:row>88</xdr:row>
                <xdr:rowOff>99060</xdr:rowOff>
              </from>
              <to>
                <xdr:col>5</xdr:col>
                <xdr:colOff>312420</xdr:colOff>
                <xdr:row>90</xdr:row>
                <xdr:rowOff>114300</xdr:rowOff>
              </to>
            </anchor>
          </objectPr>
        </oleObject>
      </mc:Choice>
      <mc:Fallback>
        <oleObject progId="Equation.3" shapeId="1059" r:id="rId26"/>
      </mc:Fallback>
    </mc:AlternateContent>
    <mc:AlternateContent xmlns:mc="http://schemas.openxmlformats.org/markup-compatibility/2006">
      <mc:Choice Requires="x14">
        <oleObject progId="Equation.3" shapeId="1060" r:id="rId28">
          <objectPr defaultSize="0" autoPict="0" r:id="rId29">
            <anchor moveWithCells="1" sizeWithCells="1">
              <from>
                <xdr:col>3</xdr:col>
                <xdr:colOff>68580</xdr:colOff>
                <xdr:row>90</xdr:row>
                <xdr:rowOff>83820</xdr:rowOff>
              </from>
              <to>
                <xdr:col>4</xdr:col>
                <xdr:colOff>114300</xdr:colOff>
                <xdr:row>92</xdr:row>
                <xdr:rowOff>144780</xdr:rowOff>
              </to>
            </anchor>
          </objectPr>
        </oleObject>
      </mc:Choice>
      <mc:Fallback>
        <oleObject progId="Equation.3" shapeId="1060" r:id="rId28"/>
      </mc:Fallback>
    </mc:AlternateContent>
    <mc:AlternateContent xmlns:mc="http://schemas.openxmlformats.org/markup-compatibility/2006">
      <mc:Choice Requires="x14">
        <oleObject progId="Equation.DSMT4" shapeId="1061" r:id="rId30">
          <objectPr defaultSize="0" autoPict="0" r:id="rId31">
            <anchor moveWithCells="1">
              <from>
                <xdr:col>2</xdr:col>
                <xdr:colOff>822960</xdr:colOff>
                <xdr:row>78</xdr:row>
                <xdr:rowOff>0</xdr:rowOff>
              </from>
              <to>
                <xdr:col>7</xdr:col>
                <xdr:colOff>533400</xdr:colOff>
                <xdr:row>80</xdr:row>
                <xdr:rowOff>60960</xdr:rowOff>
              </to>
            </anchor>
          </objectPr>
        </oleObject>
      </mc:Choice>
      <mc:Fallback>
        <oleObject progId="Equation.DSMT4" shapeId="1061" r:id="rId3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8"/>
  <sheetViews>
    <sheetView workbookViewId="0">
      <selection activeCell="F14" sqref="F14"/>
    </sheetView>
  </sheetViews>
  <sheetFormatPr defaultRowHeight="14.4" x14ac:dyDescent="0.3"/>
  <cols>
    <col min="1" max="1" width="11.88671875" customWidth="1"/>
    <col min="2" max="2" width="14.5546875" customWidth="1"/>
    <col min="3" max="3" width="15.33203125" customWidth="1"/>
    <col min="4" max="4" width="12.44140625" customWidth="1"/>
    <col min="5" max="5" width="13.109375" customWidth="1"/>
    <col min="6" max="6" width="16.5546875" customWidth="1"/>
    <col min="12" max="12" width="10.5546875" bestFit="1" customWidth="1"/>
  </cols>
  <sheetData>
    <row r="1" spans="1:12" x14ac:dyDescent="0.3">
      <c r="A1" t="s">
        <v>217</v>
      </c>
    </row>
    <row r="2" spans="1:12" ht="15" thickBot="1" x14ac:dyDescent="0.35"/>
    <row r="3" spans="1:12" ht="18.600000000000001" thickBot="1" x14ac:dyDescent="0.35">
      <c r="A3" s="71" t="s">
        <v>218</v>
      </c>
      <c r="B3" s="53" t="s">
        <v>219</v>
      </c>
      <c r="C3" s="73" t="s">
        <v>221</v>
      </c>
      <c r="D3" s="74"/>
      <c r="E3" s="71" t="s">
        <v>222</v>
      </c>
      <c r="F3" s="75" t="s">
        <v>226</v>
      </c>
    </row>
    <row r="4" spans="1:12" ht="18.600000000000001" thickBot="1" x14ac:dyDescent="0.35">
      <c r="A4" s="72"/>
      <c r="B4" s="54" t="s">
        <v>220</v>
      </c>
      <c r="C4" s="54" t="s">
        <v>223</v>
      </c>
      <c r="D4" s="54" t="s">
        <v>224</v>
      </c>
      <c r="E4" s="72"/>
      <c r="F4" s="76"/>
    </row>
    <row r="5" spans="1:12" ht="18.600000000000001" thickBot="1" x14ac:dyDescent="0.35">
      <c r="A5" s="55">
        <f>Розрахунки!C82</f>
        <v>10</v>
      </c>
      <c r="B5" s="56">
        <f>Розрахунки!C81</f>
        <v>100</v>
      </c>
      <c r="C5" s="57" t="s">
        <v>225</v>
      </c>
      <c r="D5" s="56">
        <v>0.6</v>
      </c>
      <c r="E5" s="56">
        <f>D5*B5</f>
        <v>60</v>
      </c>
      <c r="F5" s="56">
        <f>MAX(E5:E8)</f>
        <v>60</v>
      </c>
    </row>
    <row r="6" spans="1:12" ht="18.600000000000001" thickBot="1" x14ac:dyDescent="0.35">
      <c r="A6" s="55">
        <f>A5+1</f>
        <v>11</v>
      </c>
      <c r="B6" s="56">
        <v>125</v>
      </c>
      <c r="C6" s="62">
        <f>((Розрахунки!C$34*Розрахунки!C$43*1000)/(3.14*B6*Розрахунки!C$7*(30^0.2)*(Розрахунки!C$12^Розрахунки!C$35)))^(1/Розрахунки!C$36)</f>
        <v>5.4187298036922895</v>
      </c>
      <c r="D6" s="56">
        <v>0.4</v>
      </c>
      <c r="E6" s="56">
        <f>D6*B6</f>
        <v>50</v>
      </c>
      <c r="F6" s="56"/>
    </row>
    <row r="7" spans="1:12" ht="18.600000000000001" thickBot="1" x14ac:dyDescent="0.35">
      <c r="A7" s="55">
        <f>A5+2</f>
        <v>12</v>
      </c>
      <c r="B7" s="56">
        <v>160</v>
      </c>
      <c r="C7" s="62">
        <f>((Розрахунки!C$34*Розрахунки!C$43*1000)/(3.14*B7*Розрахунки!C$7*(30^0.2)*(Розрахунки!C$12^Розрахунки!C$35)))^(1/Розрахунки!C$36)</f>
        <v>2.6765989124126159</v>
      </c>
      <c r="D7" s="56">
        <v>0.25</v>
      </c>
      <c r="E7" s="56">
        <f>B7*D7</f>
        <v>40</v>
      </c>
      <c r="F7" s="56"/>
    </row>
    <row r="8" spans="1:12" ht="18.600000000000001" thickBot="1" x14ac:dyDescent="0.35">
      <c r="A8" s="55">
        <f>A5+3</f>
        <v>13</v>
      </c>
      <c r="B8" s="56">
        <v>200</v>
      </c>
      <c r="C8" s="62">
        <f>((Розрахунки!C$34*Розрахунки!C$43*1000)/(3.14*B8*Розрахунки!C$7*(30^0.2)*(Розрахунки!C$12^Розрахунки!C$35)))^(1/Розрахунки!C$36)</f>
        <v>1.4148081265557317</v>
      </c>
      <c r="D8" s="56">
        <v>0.12</v>
      </c>
      <c r="E8" s="56">
        <f>B8*D8</f>
        <v>24</v>
      </c>
      <c r="F8" s="56"/>
    </row>
    <row r="11" spans="1:12" x14ac:dyDescent="0.3">
      <c r="L11" s="60">
        <f>1000*Розрахунки!C34*Розрахунки!C43</f>
        <v>182000</v>
      </c>
    </row>
    <row r="12" spans="1:12" ht="20.399999999999999" x14ac:dyDescent="0.45">
      <c r="G12" s="2" t="s">
        <v>233</v>
      </c>
      <c r="L12" s="60">
        <f>(30^0.2)*Розрахунки!C12^Розрахунки!C35*3.14*Розрахунки!C7*B6</f>
        <v>100741.2335397217</v>
      </c>
    </row>
    <row r="13" spans="1:12" x14ac:dyDescent="0.3">
      <c r="L13" s="60"/>
    </row>
    <row r="14" spans="1:12" x14ac:dyDescent="0.3">
      <c r="L14" s="61">
        <f>(L11/L12)^(1/Розрахунки!C36)</f>
        <v>5.4187298036922895</v>
      </c>
    </row>
    <row r="17" spans="1:1" x14ac:dyDescent="0.3">
      <c r="A17" t="s">
        <v>208</v>
      </c>
    </row>
    <row r="19" spans="1:1" x14ac:dyDescent="0.3">
      <c r="A19" t="s">
        <v>209</v>
      </c>
    </row>
    <row r="21" spans="1:1" x14ac:dyDescent="0.3">
      <c r="A21" t="s">
        <v>210</v>
      </c>
    </row>
    <row r="23" spans="1:1" x14ac:dyDescent="0.3">
      <c r="A23" t="s">
        <v>211</v>
      </c>
    </row>
    <row r="24" spans="1:1" x14ac:dyDescent="0.3">
      <c r="A24" t="s">
        <v>214</v>
      </c>
    </row>
    <row r="25" spans="1:1" x14ac:dyDescent="0.3">
      <c r="A25" t="s">
        <v>212</v>
      </c>
    </row>
    <row r="26" spans="1:1" x14ac:dyDescent="0.3">
      <c r="A26" t="s">
        <v>215</v>
      </c>
    </row>
    <row r="28" spans="1:1" x14ac:dyDescent="0.3">
      <c r="A28" t="s">
        <v>213</v>
      </c>
    </row>
  </sheetData>
  <mergeCells count="4">
    <mergeCell ref="A3:A4"/>
    <mergeCell ref="C3:D3"/>
    <mergeCell ref="E3:E4"/>
    <mergeCell ref="F3:F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8197" r:id="rId4">
          <objectPr defaultSize="0" autoPict="0" r:id="rId5">
            <anchor moveWithCells="1" sizeWithCells="1">
              <from>
                <xdr:col>7</xdr:col>
                <xdr:colOff>160020</xdr:colOff>
                <xdr:row>8</xdr:row>
                <xdr:rowOff>175260</xdr:rowOff>
              </from>
              <to>
                <xdr:col>9</xdr:col>
                <xdr:colOff>441960</xdr:colOff>
                <xdr:row>13</xdr:row>
                <xdr:rowOff>137160</xdr:rowOff>
              </to>
            </anchor>
          </objectPr>
        </oleObject>
      </mc:Choice>
      <mc:Fallback>
        <oleObject progId="Equation.DSMT4" shapeId="81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C7" sqref="C7"/>
    </sheetView>
  </sheetViews>
  <sheetFormatPr defaultRowHeight="14.4" x14ac:dyDescent="0.3"/>
  <cols>
    <col min="1" max="1" width="46" customWidth="1"/>
    <col min="2" max="2" width="11.88671875" customWidth="1"/>
    <col min="3" max="3" width="13" customWidth="1"/>
  </cols>
  <sheetData>
    <row r="1" spans="1:5" ht="20.399999999999999" x14ac:dyDescent="0.3">
      <c r="A1" s="77" t="s">
        <v>142</v>
      </c>
      <c r="B1" s="77"/>
      <c r="C1" s="77"/>
    </row>
    <row r="2" spans="1:5" ht="21" x14ac:dyDescent="0.4">
      <c r="A2" s="8"/>
      <c r="B2" s="8"/>
      <c r="C2" s="9"/>
    </row>
    <row r="3" spans="1:5" ht="21" x14ac:dyDescent="0.3">
      <c r="A3" s="10" t="s">
        <v>143</v>
      </c>
      <c r="B3" s="11" t="s">
        <v>144</v>
      </c>
      <c r="C3" s="14">
        <f>Розрахунки!C12</f>
        <v>1</v>
      </c>
    </row>
    <row r="4" spans="1:5" ht="21" x14ac:dyDescent="0.3">
      <c r="A4" s="10" t="s">
        <v>137</v>
      </c>
      <c r="B4" s="11" t="s">
        <v>145</v>
      </c>
      <c r="C4" s="14">
        <f>Розрахунки!C84</f>
        <v>440</v>
      </c>
    </row>
    <row r="5" spans="1:5" ht="42" x14ac:dyDescent="0.3">
      <c r="A5" s="10" t="s">
        <v>138</v>
      </c>
      <c r="B5" s="11" t="s">
        <v>146</v>
      </c>
      <c r="C5" s="14">
        <f>Розрахунки!C85</f>
        <v>0.43</v>
      </c>
    </row>
    <row r="6" spans="1:5" ht="21" x14ac:dyDescent="0.4">
      <c r="A6" s="13" t="s">
        <v>151</v>
      </c>
      <c r="B6" s="11" t="s">
        <v>147</v>
      </c>
      <c r="C6" s="14">
        <f>Розрахунки!C86</f>
        <v>189.2</v>
      </c>
    </row>
    <row r="7" spans="1:5" ht="21" x14ac:dyDescent="0.4">
      <c r="A7" s="13" t="s">
        <v>62</v>
      </c>
      <c r="B7" s="12" t="s">
        <v>148</v>
      </c>
      <c r="C7" s="14">
        <f>Розрахунки!C88</f>
        <v>179.608</v>
      </c>
    </row>
    <row r="8" spans="1:5" ht="21" x14ac:dyDescent="0.4">
      <c r="A8" s="10" t="str">
        <f>Розрахунки!A96</f>
        <v>Потужність різання</v>
      </c>
      <c r="B8" s="12" t="s">
        <v>150</v>
      </c>
      <c r="C8" s="14">
        <f>Розрахунки!C96</f>
        <v>2.1965234624232806</v>
      </c>
    </row>
    <row r="9" spans="1:5" ht="21" x14ac:dyDescent="0.4">
      <c r="A9" s="13" t="str">
        <f>Розрахунки!A100</f>
        <v>Основний (машинний) час</v>
      </c>
      <c r="B9" s="12" t="s">
        <v>149</v>
      </c>
      <c r="C9" s="14">
        <f>Розрахунки!C100</f>
        <v>1.6037587731593206</v>
      </c>
      <c r="E9" s="15" t="s">
        <v>154</v>
      </c>
    </row>
    <row r="10" spans="1:5" ht="18" x14ac:dyDescent="0.3">
      <c r="A10" s="7"/>
      <c r="B10" s="7"/>
    </row>
    <row r="11" spans="1:5" ht="18" x14ac:dyDescent="0.3">
      <c r="A11" s="7"/>
      <c r="B11" s="7"/>
    </row>
    <row r="12" spans="1:5" ht="18" x14ac:dyDescent="0.3">
      <c r="A12" s="7"/>
      <c r="B12" s="7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A32" sqref="A3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C5" sqref="C5"/>
    </sheetView>
  </sheetViews>
  <sheetFormatPr defaultRowHeight="14.4" x14ac:dyDescent="0.3"/>
  <sheetData>
    <row r="1" spans="1:12" x14ac:dyDescent="0.3">
      <c r="A1" s="41" t="s">
        <v>157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12" spans="1:12" x14ac:dyDescent="0.3">
      <c r="A12" s="78" t="s">
        <v>203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</row>
    <row r="16" spans="1:12" x14ac:dyDescent="0.3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</row>
    <row r="23" spans="1:11" x14ac:dyDescent="0.3">
      <c r="A23" s="78" t="s">
        <v>204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</row>
  </sheetData>
  <mergeCells count="3">
    <mergeCell ref="A16:L16"/>
    <mergeCell ref="A12:L12"/>
    <mergeCell ref="A23:K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28" workbookViewId="0">
      <selection activeCell="I48" sqref="I48"/>
    </sheetView>
  </sheetViews>
  <sheetFormatPr defaultRowHeight="14.4" x14ac:dyDescent="0.3"/>
  <cols>
    <col min="2" max="2" width="14.5546875" customWidth="1"/>
  </cols>
  <sheetData>
    <row r="1" spans="1:14" x14ac:dyDescent="0.3">
      <c r="A1" s="18" t="s">
        <v>160</v>
      </c>
      <c r="B1" s="18"/>
      <c r="C1" s="18"/>
      <c r="D1" s="18"/>
      <c r="E1" s="18"/>
      <c r="F1" s="18"/>
      <c r="G1" s="18"/>
      <c r="H1" s="18"/>
      <c r="I1" s="18"/>
    </row>
    <row r="2" spans="1:14" ht="15" thickBot="1" x14ac:dyDescent="0.35"/>
    <row r="3" spans="1:14" ht="15.6" x14ac:dyDescent="0.3">
      <c r="A3" s="100" t="s">
        <v>161</v>
      </c>
      <c r="B3" s="25"/>
      <c r="C3" s="103" t="s">
        <v>163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5"/>
    </row>
    <row r="4" spans="1:14" ht="16.2" thickBot="1" x14ac:dyDescent="0.35">
      <c r="A4" s="101"/>
      <c r="B4" s="26"/>
      <c r="C4" s="106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8"/>
    </row>
    <row r="5" spans="1:14" ht="18" customHeight="1" thickBot="1" x14ac:dyDescent="0.35">
      <c r="A5" s="101"/>
      <c r="B5" s="26" t="s">
        <v>162</v>
      </c>
      <c r="C5" s="85" t="s">
        <v>179</v>
      </c>
      <c r="D5" s="87"/>
      <c r="E5" s="87"/>
      <c r="F5" s="86"/>
      <c r="G5" s="85" t="s">
        <v>180</v>
      </c>
      <c r="H5" s="87"/>
      <c r="I5" s="87"/>
      <c r="J5" s="86"/>
      <c r="K5" s="109" t="s">
        <v>181</v>
      </c>
      <c r="L5" s="110"/>
      <c r="M5" s="110"/>
      <c r="N5" s="111"/>
    </row>
    <row r="6" spans="1:14" ht="18.600000000000001" thickBot="1" x14ac:dyDescent="0.35">
      <c r="A6" s="102"/>
      <c r="B6" s="27" t="s">
        <v>158</v>
      </c>
      <c r="C6" s="27" t="s">
        <v>182</v>
      </c>
      <c r="D6" s="27" t="s">
        <v>164</v>
      </c>
      <c r="E6" s="27" t="s">
        <v>165</v>
      </c>
      <c r="F6" s="27" t="s">
        <v>166</v>
      </c>
      <c r="G6" s="27" t="s">
        <v>182</v>
      </c>
      <c r="H6" s="27" t="s">
        <v>164</v>
      </c>
      <c r="I6" s="27" t="s">
        <v>165</v>
      </c>
      <c r="J6" s="27" t="s">
        <v>166</v>
      </c>
      <c r="K6" s="27" t="s">
        <v>182</v>
      </c>
      <c r="L6" s="27" t="s">
        <v>164</v>
      </c>
      <c r="M6" s="27" t="s">
        <v>165</v>
      </c>
      <c r="N6" s="27" t="s">
        <v>166</v>
      </c>
    </row>
    <row r="7" spans="1:14" ht="18" customHeight="1" thickBot="1" x14ac:dyDescent="0.35">
      <c r="A7" s="85" t="s">
        <v>183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6"/>
    </row>
    <row r="8" spans="1:14" ht="97.95" customHeight="1" x14ac:dyDescent="0.3">
      <c r="A8" s="96" t="s">
        <v>167</v>
      </c>
      <c r="B8" s="88" t="s">
        <v>168</v>
      </c>
      <c r="C8" s="31"/>
      <c r="D8" s="31"/>
      <c r="E8" s="34">
        <v>0.75</v>
      </c>
      <c r="F8" s="82">
        <v>-0.15</v>
      </c>
      <c r="G8" s="82">
        <v>243</v>
      </c>
      <c r="H8" s="82">
        <v>0.9</v>
      </c>
      <c r="I8" s="82">
        <v>0.6</v>
      </c>
      <c r="J8" s="82">
        <v>-0.3</v>
      </c>
      <c r="K8" s="82">
        <v>339</v>
      </c>
      <c r="L8" s="82">
        <v>1</v>
      </c>
      <c r="M8" s="82">
        <v>0.5</v>
      </c>
      <c r="N8" s="82">
        <v>-0.4</v>
      </c>
    </row>
    <row r="9" spans="1:14" ht="26.4" x14ac:dyDescent="0.3">
      <c r="A9" s="97"/>
      <c r="B9" s="99"/>
      <c r="C9" s="31"/>
      <c r="D9" s="31"/>
      <c r="E9" s="35">
        <v>0.75</v>
      </c>
      <c r="F9" s="83"/>
      <c r="G9" s="83"/>
      <c r="H9" s="83"/>
      <c r="I9" s="83"/>
      <c r="J9" s="83"/>
      <c r="K9" s="83"/>
      <c r="L9" s="83"/>
      <c r="M9" s="83"/>
      <c r="N9" s="83"/>
    </row>
    <row r="10" spans="1:14" ht="15.6" x14ac:dyDescent="0.3">
      <c r="A10" s="97"/>
      <c r="B10" s="99"/>
      <c r="C10" s="31">
        <v>300</v>
      </c>
      <c r="D10" s="31"/>
      <c r="E10" s="36"/>
      <c r="F10" s="83"/>
      <c r="G10" s="83"/>
      <c r="H10" s="83"/>
      <c r="I10" s="83"/>
      <c r="J10" s="83"/>
      <c r="K10" s="83"/>
      <c r="L10" s="83"/>
      <c r="M10" s="83"/>
      <c r="N10" s="83"/>
    </row>
    <row r="11" spans="1:14" ht="16.2" thickBot="1" x14ac:dyDescent="0.35">
      <c r="A11" s="97"/>
      <c r="B11" s="89"/>
      <c r="C11" s="32"/>
      <c r="D11" s="33">
        <v>1</v>
      </c>
      <c r="E11" s="37"/>
      <c r="F11" s="83"/>
      <c r="G11" s="84"/>
      <c r="H11" s="84"/>
      <c r="I11" s="84"/>
      <c r="J11" s="83"/>
      <c r="K11" s="84"/>
      <c r="L11" s="84"/>
      <c r="M11" s="84"/>
      <c r="N11" s="83"/>
    </row>
    <row r="12" spans="1:14" ht="135" customHeight="1" x14ac:dyDescent="0.3">
      <c r="A12" s="97"/>
      <c r="B12" s="88" t="s">
        <v>169</v>
      </c>
      <c r="C12" s="31"/>
      <c r="D12" s="31"/>
      <c r="E12" s="35">
        <v>0.9</v>
      </c>
      <c r="F12" s="83"/>
      <c r="G12" s="82">
        <v>355</v>
      </c>
      <c r="H12" s="82">
        <v>0.6</v>
      </c>
      <c r="I12" s="82">
        <v>0.8</v>
      </c>
      <c r="J12" s="83"/>
      <c r="K12" s="82">
        <v>241</v>
      </c>
      <c r="L12" s="82">
        <v>1.05</v>
      </c>
      <c r="M12" s="82">
        <v>0.2</v>
      </c>
      <c r="N12" s="83"/>
    </row>
    <row r="13" spans="1:14" ht="21" thickBot="1" x14ac:dyDescent="0.35">
      <c r="A13" s="98"/>
      <c r="B13" s="89"/>
      <c r="C13" s="38">
        <v>384</v>
      </c>
      <c r="D13" s="38">
        <v>0.9</v>
      </c>
      <c r="E13" s="39">
        <v>0.9</v>
      </c>
      <c r="F13" s="84"/>
      <c r="G13" s="84"/>
      <c r="H13" s="84"/>
      <c r="I13" s="84"/>
      <c r="J13" s="84"/>
      <c r="K13" s="84"/>
      <c r="L13" s="84"/>
      <c r="M13" s="84"/>
      <c r="N13" s="84"/>
    </row>
    <row r="14" spans="1:14" ht="102.6" customHeight="1" x14ac:dyDescent="0.3">
      <c r="A14" s="28" t="s">
        <v>170</v>
      </c>
      <c r="B14" s="88" t="s">
        <v>172</v>
      </c>
      <c r="C14" s="31"/>
      <c r="D14" s="31"/>
      <c r="E14" s="82">
        <v>0.75</v>
      </c>
      <c r="F14" s="31"/>
      <c r="G14" s="82">
        <v>125</v>
      </c>
      <c r="H14" s="82">
        <v>0.9</v>
      </c>
      <c r="I14" s="82">
        <v>0.75</v>
      </c>
      <c r="J14" s="82">
        <v>0</v>
      </c>
      <c r="K14" s="82">
        <v>67</v>
      </c>
      <c r="L14" s="82">
        <v>1.2</v>
      </c>
      <c r="M14" s="82">
        <v>0.65</v>
      </c>
      <c r="N14" s="90">
        <v>0</v>
      </c>
    </row>
    <row r="15" spans="1:14" ht="21.6" x14ac:dyDescent="0.3">
      <c r="A15" s="28" t="s">
        <v>171</v>
      </c>
      <c r="B15" s="99"/>
      <c r="C15" s="31"/>
      <c r="D15" s="31"/>
      <c r="E15" s="83"/>
      <c r="F15" s="31"/>
      <c r="G15" s="83"/>
      <c r="H15" s="83"/>
      <c r="I15" s="83"/>
      <c r="J15" s="83"/>
      <c r="K15" s="83"/>
      <c r="L15" s="83"/>
      <c r="M15" s="83"/>
      <c r="N15" s="91"/>
    </row>
    <row r="16" spans="1:14" ht="16.2" thickBot="1" x14ac:dyDescent="0.35">
      <c r="A16" s="29"/>
      <c r="B16" s="89"/>
      <c r="C16" s="38">
        <v>200</v>
      </c>
      <c r="D16" s="38">
        <v>1</v>
      </c>
      <c r="E16" s="84"/>
      <c r="F16" s="38">
        <v>0</v>
      </c>
      <c r="G16" s="84"/>
      <c r="H16" s="84"/>
      <c r="I16" s="84"/>
      <c r="J16" s="84"/>
      <c r="K16" s="84"/>
      <c r="L16" s="84"/>
      <c r="M16" s="84"/>
      <c r="N16" s="92"/>
    </row>
    <row r="17" spans="1:14" ht="16.2" thickBot="1" x14ac:dyDescent="0.35">
      <c r="A17" s="93" t="s">
        <v>173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5"/>
    </row>
    <row r="18" spans="1:14" ht="139.94999999999999" customHeight="1" x14ac:dyDescent="0.3">
      <c r="A18" s="96" t="s">
        <v>174</v>
      </c>
      <c r="B18" s="88" t="s">
        <v>175</v>
      </c>
      <c r="C18" s="31"/>
      <c r="D18" s="82">
        <v>1</v>
      </c>
      <c r="E18" s="82">
        <v>0.75</v>
      </c>
      <c r="F18" s="82">
        <v>0</v>
      </c>
      <c r="G18" s="82">
        <v>54</v>
      </c>
      <c r="H18" s="82">
        <v>0.9</v>
      </c>
      <c r="I18" s="82">
        <v>0.75</v>
      </c>
      <c r="J18" s="82">
        <v>0</v>
      </c>
      <c r="K18" s="82">
        <v>46</v>
      </c>
      <c r="L18" s="82">
        <v>1</v>
      </c>
      <c r="M18" s="82">
        <v>0.4</v>
      </c>
      <c r="N18" s="82">
        <v>0</v>
      </c>
    </row>
    <row r="19" spans="1:14" ht="16.2" thickBot="1" x14ac:dyDescent="0.35">
      <c r="A19" s="97"/>
      <c r="B19" s="89"/>
      <c r="C19" s="38">
        <v>92</v>
      </c>
      <c r="D19" s="83"/>
      <c r="E19" s="84"/>
      <c r="F19" s="83"/>
      <c r="G19" s="84"/>
      <c r="H19" s="84"/>
      <c r="I19" s="84"/>
      <c r="J19" s="83"/>
      <c r="K19" s="84"/>
      <c r="L19" s="84"/>
      <c r="M19" s="84"/>
      <c r="N19" s="83"/>
    </row>
    <row r="20" spans="1:14" ht="139.94999999999999" customHeight="1" x14ac:dyDescent="0.3">
      <c r="A20" s="97"/>
      <c r="B20" s="88" t="s">
        <v>169</v>
      </c>
      <c r="C20" s="31"/>
      <c r="D20" s="83"/>
      <c r="E20" s="82">
        <v>0.85</v>
      </c>
      <c r="F20" s="83"/>
      <c r="G20" s="82">
        <v>61</v>
      </c>
      <c r="H20" s="82">
        <v>0.6</v>
      </c>
      <c r="I20" s="82">
        <v>0.5</v>
      </c>
      <c r="J20" s="83"/>
      <c r="K20" s="82">
        <v>24</v>
      </c>
      <c r="L20" s="82">
        <v>1.05</v>
      </c>
      <c r="M20" s="82">
        <v>0.2</v>
      </c>
      <c r="N20" s="83"/>
    </row>
    <row r="21" spans="1:14" ht="16.2" thickBot="1" x14ac:dyDescent="0.35">
      <c r="A21" s="98"/>
      <c r="B21" s="89"/>
      <c r="C21" s="38">
        <v>123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spans="1:14" ht="53.4" x14ac:dyDescent="0.3">
      <c r="A22" s="28" t="s">
        <v>176</v>
      </c>
      <c r="B22" s="79" t="s">
        <v>177</v>
      </c>
      <c r="C22" s="31"/>
      <c r="D22" s="82">
        <v>1</v>
      </c>
      <c r="E22" s="82">
        <v>1</v>
      </c>
      <c r="F22" s="82">
        <v>0</v>
      </c>
      <c r="G22" s="31"/>
      <c r="H22" s="31"/>
      <c r="I22" s="31"/>
      <c r="J22" s="31"/>
      <c r="K22" s="31"/>
      <c r="L22" s="31"/>
      <c r="M22" s="31"/>
      <c r="N22" s="31"/>
    </row>
    <row r="23" spans="1:14" ht="21.6" x14ac:dyDescent="0.3">
      <c r="A23" s="28" t="s">
        <v>171</v>
      </c>
      <c r="B23" s="80"/>
      <c r="C23" s="31">
        <v>158</v>
      </c>
      <c r="D23" s="83"/>
      <c r="E23" s="83"/>
      <c r="F23" s="83"/>
      <c r="G23" s="31"/>
      <c r="H23" s="31"/>
      <c r="I23" s="31"/>
      <c r="J23" s="31"/>
      <c r="K23" s="31"/>
      <c r="L23" s="31"/>
      <c r="M23" s="31"/>
      <c r="N23" s="31"/>
    </row>
    <row r="24" spans="1:14" ht="16.2" thickBot="1" x14ac:dyDescent="0.35">
      <c r="A24" s="29"/>
      <c r="B24" s="81"/>
      <c r="C24" s="40"/>
      <c r="D24" s="84"/>
      <c r="E24" s="84"/>
      <c r="F24" s="84"/>
      <c r="G24" s="38" t="s">
        <v>178</v>
      </c>
      <c r="H24" s="38" t="s">
        <v>178</v>
      </c>
      <c r="I24" s="38" t="s">
        <v>178</v>
      </c>
      <c r="J24" s="38" t="s">
        <v>178</v>
      </c>
      <c r="K24" s="38" t="s">
        <v>178</v>
      </c>
      <c r="L24" s="38" t="s">
        <v>178</v>
      </c>
      <c r="M24" s="38" t="s">
        <v>178</v>
      </c>
      <c r="N24" s="38" t="s">
        <v>178</v>
      </c>
    </row>
    <row r="26" spans="1:14" x14ac:dyDescent="0.3">
      <c r="A26" s="18" t="s">
        <v>184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4" ht="15" thickBot="1" x14ac:dyDescent="0.35"/>
    <row r="28" spans="1:14" ht="16.2" thickBot="1" x14ac:dyDescent="0.35">
      <c r="A28" s="85" t="s">
        <v>185</v>
      </c>
      <c r="B28" s="86"/>
      <c r="C28" s="25"/>
      <c r="D28" s="85" t="s">
        <v>187</v>
      </c>
      <c r="E28" s="87"/>
      <c r="F28" s="87"/>
      <c r="G28" s="86"/>
    </row>
    <row r="29" spans="1:14" ht="125.4" thickBot="1" x14ac:dyDescent="0.35">
      <c r="A29" s="42"/>
      <c r="B29" s="26"/>
      <c r="C29" s="26" t="s">
        <v>186</v>
      </c>
      <c r="D29" s="26"/>
      <c r="E29" s="85" t="s">
        <v>191</v>
      </c>
      <c r="F29" s="87"/>
      <c r="G29" s="86"/>
    </row>
    <row r="30" spans="1:14" ht="49.8" thickBot="1" x14ac:dyDescent="0.35">
      <c r="A30" s="43" t="s">
        <v>188</v>
      </c>
      <c r="B30" s="44" t="s">
        <v>189</v>
      </c>
      <c r="C30" s="40"/>
      <c r="D30" s="45" t="s">
        <v>190</v>
      </c>
      <c r="E30" s="27" t="s">
        <v>192</v>
      </c>
      <c r="F30" s="27" t="s">
        <v>180</v>
      </c>
      <c r="G30" s="46" t="s">
        <v>181</v>
      </c>
    </row>
    <row r="31" spans="1:14" ht="15.6" x14ac:dyDescent="0.3">
      <c r="A31" s="79" t="s">
        <v>193</v>
      </c>
      <c r="B31" s="31">
        <v>30</v>
      </c>
      <c r="C31" s="31"/>
      <c r="D31" s="31"/>
      <c r="E31" s="31">
        <v>1.08</v>
      </c>
      <c r="F31" s="31">
        <v>1.3</v>
      </c>
      <c r="G31" s="31">
        <v>0.78</v>
      </c>
    </row>
    <row r="32" spans="1:14" ht="31.2" x14ac:dyDescent="0.3">
      <c r="A32" s="80"/>
      <c r="B32" s="31">
        <v>45</v>
      </c>
      <c r="C32" s="31" t="s">
        <v>174</v>
      </c>
      <c r="D32" s="31"/>
      <c r="E32" s="31">
        <v>1</v>
      </c>
      <c r="F32" s="31">
        <v>1</v>
      </c>
      <c r="G32" s="31">
        <v>1</v>
      </c>
    </row>
    <row r="33" spans="1:7" ht="15.6" x14ac:dyDescent="0.3">
      <c r="A33" s="80"/>
      <c r="B33" s="31">
        <v>60</v>
      </c>
      <c r="C33" s="47"/>
      <c r="D33" s="31"/>
      <c r="E33" s="31">
        <v>0.94</v>
      </c>
      <c r="F33" s="31">
        <v>0.77</v>
      </c>
      <c r="G33" s="31">
        <v>1.1100000000000001</v>
      </c>
    </row>
    <row r="34" spans="1:7" ht="18.600000000000001" thickBot="1" x14ac:dyDescent="0.35">
      <c r="A34" s="80"/>
      <c r="B34" s="38">
        <v>90</v>
      </c>
      <c r="C34" s="40"/>
      <c r="D34" s="31" t="s">
        <v>194</v>
      </c>
      <c r="E34" s="38">
        <v>0.89</v>
      </c>
      <c r="F34" s="38">
        <v>0.5</v>
      </c>
      <c r="G34" s="38">
        <v>1.17</v>
      </c>
    </row>
    <row r="35" spans="1:7" ht="15.6" x14ac:dyDescent="0.3">
      <c r="A35" s="80"/>
      <c r="B35" s="31">
        <v>30</v>
      </c>
      <c r="C35" s="31"/>
      <c r="D35" s="47"/>
      <c r="E35" s="31">
        <v>1.08</v>
      </c>
      <c r="F35" s="31">
        <v>1.63</v>
      </c>
      <c r="G35" s="31">
        <v>0.7</v>
      </c>
    </row>
    <row r="36" spans="1:7" ht="46.8" x14ac:dyDescent="0.3">
      <c r="A36" s="80"/>
      <c r="B36" s="31">
        <v>45</v>
      </c>
      <c r="C36" s="31" t="s">
        <v>195</v>
      </c>
      <c r="D36" s="47"/>
      <c r="E36" s="31">
        <v>1</v>
      </c>
      <c r="F36" s="31">
        <v>1</v>
      </c>
      <c r="G36" s="31">
        <v>1</v>
      </c>
    </row>
    <row r="37" spans="1:7" ht="15.6" x14ac:dyDescent="0.3">
      <c r="A37" s="80"/>
      <c r="B37" s="31">
        <v>60</v>
      </c>
      <c r="C37" s="47"/>
      <c r="D37" s="47"/>
      <c r="E37" s="31">
        <v>0.98</v>
      </c>
      <c r="F37" s="31">
        <v>0.71</v>
      </c>
      <c r="G37" s="31">
        <v>1.27</v>
      </c>
    </row>
    <row r="38" spans="1:7" ht="16.2" thickBot="1" x14ac:dyDescent="0.35">
      <c r="A38" s="81"/>
      <c r="B38" s="38">
        <v>90</v>
      </c>
      <c r="C38" s="40"/>
      <c r="D38" s="40"/>
      <c r="E38" s="38">
        <v>1.08</v>
      </c>
      <c r="F38" s="38">
        <v>0.44</v>
      </c>
      <c r="G38" s="38">
        <v>1.82</v>
      </c>
    </row>
    <row r="39" spans="1:7" ht="15.6" x14ac:dyDescent="0.3">
      <c r="A39" s="79" t="s">
        <v>196</v>
      </c>
      <c r="B39" s="31">
        <v>-15</v>
      </c>
      <c r="C39" s="31"/>
      <c r="D39" s="31"/>
      <c r="E39" s="31">
        <v>1.25</v>
      </c>
      <c r="F39" s="31">
        <v>2</v>
      </c>
      <c r="G39" s="31">
        <v>2</v>
      </c>
    </row>
    <row r="40" spans="1:7" ht="31.2" x14ac:dyDescent="0.3">
      <c r="A40" s="80"/>
      <c r="B40" s="31">
        <v>0</v>
      </c>
      <c r="C40" s="31" t="s">
        <v>174</v>
      </c>
      <c r="D40" s="31"/>
      <c r="E40" s="31">
        <v>1.1000000000000001</v>
      </c>
      <c r="F40" s="31">
        <v>1.4</v>
      </c>
      <c r="G40" s="31">
        <v>1.4</v>
      </c>
    </row>
    <row r="41" spans="1:7" ht="18.600000000000001" thickBot="1" x14ac:dyDescent="0.35">
      <c r="A41" s="80"/>
      <c r="B41" s="38">
        <v>10</v>
      </c>
      <c r="C41" s="40"/>
      <c r="D41" s="30" t="s">
        <v>197</v>
      </c>
      <c r="E41" s="38">
        <v>1</v>
      </c>
      <c r="F41" s="38">
        <v>1</v>
      </c>
      <c r="G41" s="38">
        <v>1</v>
      </c>
    </row>
    <row r="42" spans="1:7" ht="30.6" customHeight="1" x14ac:dyDescent="0.3">
      <c r="A42" s="80"/>
      <c r="B42" s="48">
        <v>42339</v>
      </c>
      <c r="C42" s="79" t="s">
        <v>195</v>
      </c>
      <c r="D42" s="47"/>
      <c r="E42" s="31">
        <v>1.1499999999999999</v>
      </c>
      <c r="F42" s="31">
        <v>1.6</v>
      </c>
      <c r="G42" s="31">
        <v>1.7</v>
      </c>
    </row>
    <row r="43" spans="1:7" ht="16.2" thickBot="1" x14ac:dyDescent="0.35">
      <c r="A43" s="81"/>
      <c r="B43" s="38" t="s">
        <v>198</v>
      </c>
      <c r="C43" s="81"/>
      <c r="D43" s="40"/>
      <c r="E43" s="38">
        <v>1</v>
      </c>
      <c r="F43" s="38">
        <v>1</v>
      </c>
      <c r="G43" s="38">
        <v>1</v>
      </c>
    </row>
    <row r="44" spans="1:7" ht="15.6" x14ac:dyDescent="0.3">
      <c r="A44" s="79" t="s">
        <v>199</v>
      </c>
      <c r="B44" s="31">
        <v>-5</v>
      </c>
      <c r="C44" s="31"/>
      <c r="D44" s="31"/>
      <c r="E44" s="31"/>
      <c r="F44" s="31">
        <v>0.75</v>
      </c>
      <c r="G44" s="31">
        <v>1.07</v>
      </c>
    </row>
    <row r="45" spans="1:7" ht="31.2" x14ac:dyDescent="0.3">
      <c r="A45" s="80"/>
      <c r="B45" s="31">
        <v>0</v>
      </c>
      <c r="C45" s="31" t="s">
        <v>174</v>
      </c>
      <c r="D45" s="31" t="s">
        <v>200</v>
      </c>
      <c r="E45" s="31">
        <v>1</v>
      </c>
      <c r="F45" s="31">
        <v>1</v>
      </c>
      <c r="G45" s="31">
        <v>1</v>
      </c>
    </row>
    <row r="46" spans="1:7" ht="15.6" x14ac:dyDescent="0.3">
      <c r="A46" s="80"/>
      <c r="B46" s="31">
        <v>5</v>
      </c>
      <c r="C46" s="47"/>
      <c r="D46" s="47"/>
      <c r="E46" s="47"/>
      <c r="F46" s="31">
        <v>1.25</v>
      </c>
      <c r="G46" s="31">
        <v>0.85</v>
      </c>
    </row>
    <row r="47" spans="1:7" ht="16.2" thickBot="1" x14ac:dyDescent="0.35">
      <c r="A47" s="81"/>
      <c r="B47" s="38">
        <v>15</v>
      </c>
      <c r="C47" s="40"/>
      <c r="D47" s="40"/>
      <c r="E47" s="40"/>
      <c r="F47" s="38">
        <v>1.7</v>
      </c>
      <c r="G47" s="38">
        <v>0.65</v>
      </c>
    </row>
    <row r="48" spans="1:7" ht="15.6" x14ac:dyDescent="0.3">
      <c r="A48" s="79" t="s">
        <v>201</v>
      </c>
      <c r="B48" s="31">
        <v>0.5</v>
      </c>
      <c r="C48" s="31"/>
      <c r="D48" s="31"/>
      <c r="E48" s="31">
        <v>0.87</v>
      </c>
      <c r="F48" s="31">
        <v>0.66</v>
      </c>
      <c r="G48" s="31"/>
    </row>
    <row r="49" spans="1:7" ht="46.8" x14ac:dyDescent="0.3">
      <c r="A49" s="80"/>
      <c r="B49" s="31">
        <v>1</v>
      </c>
      <c r="C49" s="31" t="s">
        <v>195</v>
      </c>
      <c r="D49" s="31"/>
      <c r="E49" s="31">
        <v>0.93</v>
      </c>
      <c r="F49" s="31">
        <v>0.82</v>
      </c>
      <c r="G49" s="31"/>
    </row>
    <row r="50" spans="1:7" ht="18" x14ac:dyDescent="0.3">
      <c r="A50" s="80"/>
      <c r="B50" s="31">
        <v>2</v>
      </c>
      <c r="C50" s="47"/>
      <c r="D50" s="31" t="s">
        <v>202</v>
      </c>
      <c r="E50" s="31">
        <v>1</v>
      </c>
      <c r="F50" s="31">
        <v>1</v>
      </c>
      <c r="G50" s="31">
        <v>1</v>
      </c>
    </row>
    <row r="51" spans="1:7" ht="15.6" x14ac:dyDescent="0.3">
      <c r="A51" s="80"/>
      <c r="B51" s="31">
        <v>3</v>
      </c>
      <c r="C51" s="47"/>
      <c r="D51" s="47"/>
      <c r="E51" s="31">
        <v>1.04</v>
      </c>
      <c r="F51" s="31">
        <v>1.1399999999999999</v>
      </c>
      <c r="G51" s="47"/>
    </row>
    <row r="52" spans="1:7" ht="16.2" thickBot="1" x14ac:dyDescent="0.35">
      <c r="A52" s="81"/>
      <c r="B52" s="38">
        <v>5</v>
      </c>
      <c r="C52" s="40"/>
      <c r="D52" s="40"/>
      <c r="E52" s="38">
        <v>1.1000000000000001</v>
      </c>
      <c r="F52" s="38">
        <v>1.33</v>
      </c>
      <c r="G52" s="40"/>
    </row>
  </sheetData>
  <mergeCells count="68">
    <mergeCell ref="A7:N7"/>
    <mergeCell ref="A3:A6"/>
    <mergeCell ref="C3:N4"/>
    <mergeCell ref="C5:F5"/>
    <mergeCell ref="G5:J5"/>
    <mergeCell ref="K5:N5"/>
    <mergeCell ref="A8:A13"/>
    <mergeCell ref="B8:B11"/>
    <mergeCell ref="F8:F13"/>
    <mergeCell ref="G8:G11"/>
    <mergeCell ref="H8:H11"/>
    <mergeCell ref="N8:N13"/>
    <mergeCell ref="B12:B13"/>
    <mergeCell ref="G12:G13"/>
    <mergeCell ref="H12:H13"/>
    <mergeCell ref="I12:I13"/>
    <mergeCell ref="K12:K13"/>
    <mergeCell ref="I8:I11"/>
    <mergeCell ref="L12:L13"/>
    <mergeCell ref="M12:M13"/>
    <mergeCell ref="M8:M11"/>
    <mergeCell ref="B14:B16"/>
    <mergeCell ref="E14:E16"/>
    <mergeCell ref="G14:G16"/>
    <mergeCell ref="H14:H16"/>
    <mergeCell ref="I14:I16"/>
    <mergeCell ref="J14:J16"/>
    <mergeCell ref="K14:K16"/>
    <mergeCell ref="L14:L16"/>
    <mergeCell ref="J8:J13"/>
    <mergeCell ref="K8:K11"/>
    <mergeCell ref="L8:L11"/>
    <mergeCell ref="M18:M19"/>
    <mergeCell ref="N18:N21"/>
    <mergeCell ref="L20:L21"/>
    <mergeCell ref="M20:M21"/>
    <mergeCell ref="M14:M16"/>
    <mergeCell ref="N14:N16"/>
    <mergeCell ref="A17:N17"/>
    <mergeCell ref="A18:A21"/>
    <mergeCell ref="B18:B19"/>
    <mergeCell ref="D18:D21"/>
    <mergeCell ref="E18:E19"/>
    <mergeCell ref="F18:F21"/>
    <mergeCell ref="G18:G19"/>
    <mergeCell ref="H18:H19"/>
    <mergeCell ref="K20:K21"/>
    <mergeCell ref="I18:I19"/>
    <mergeCell ref="J18:J21"/>
    <mergeCell ref="K18:K19"/>
    <mergeCell ref="L18:L19"/>
    <mergeCell ref="B20:B21"/>
    <mergeCell ref="E20:E21"/>
    <mergeCell ref="G20:G21"/>
    <mergeCell ref="H20:H21"/>
    <mergeCell ref="I20:I21"/>
    <mergeCell ref="A48:A52"/>
    <mergeCell ref="B22:B24"/>
    <mergeCell ref="D22:D24"/>
    <mergeCell ref="E22:E24"/>
    <mergeCell ref="F22:F24"/>
    <mergeCell ref="A28:B28"/>
    <mergeCell ref="D28:G28"/>
    <mergeCell ref="E29:G29"/>
    <mergeCell ref="A31:A38"/>
    <mergeCell ref="A39:A43"/>
    <mergeCell ref="C42:C43"/>
    <mergeCell ref="A44:A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tabSelected="1" workbookViewId="0">
      <selection activeCell="E14" sqref="E14"/>
    </sheetView>
  </sheetViews>
  <sheetFormatPr defaultRowHeight="14.4" x14ac:dyDescent="0.3"/>
  <sheetData>
    <row r="1" spans="1:9" ht="20.399999999999999" x14ac:dyDescent="0.3">
      <c r="A1" s="112" t="s">
        <v>207</v>
      </c>
      <c r="B1" s="112"/>
      <c r="C1" s="112"/>
      <c r="D1" s="112"/>
      <c r="E1" s="112"/>
      <c r="F1" s="112"/>
      <c r="G1" s="112"/>
      <c r="H1" s="112"/>
      <c r="I1" s="112"/>
    </row>
  </sheetData>
  <mergeCells count="1">
    <mergeCell ref="A1:I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sqref="A1:R10"/>
    </sheetView>
  </sheetViews>
  <sheetFormatPr defaultRowHeight="14.4" x14ac:dyDescent="0.3"/>
  <sheetData>
    <row r="1" spans="1:9" x14ac:dyDescent="0.3">
      <c r="A1" s="52" t="s">
        <v>208</v>
      </c>
      <c r="B1" s="52"/>
      <c r="C1" s="52"/>
      <c r="D1" s="52"/>
      <c r="E1" s="52"/>
      <c r="F1" s="52"/>
      <c r="G1" s="52"/>
    </row>
    <row r="3" spans="1:9" x14ac:dyDescent="0.3">
      <c r="A3" t="s">
        <v>209</v>
      </c>
    </row>
    <row r="5" spans="1:9" x14ac:dyDescent="0.3">
      <c r="A5" t="s">
        <v>210</v>
      </c>
    </row>
    <row r="7" spans="1:9" x14ac:dyDescent="0.3">
      <c r="A7" t="s">
        <v>211</v>
      </c>
      <c r="I7" t="s">
        <v>214</v>
      </c>
    </row>
    <row r="9" spans="1:9" x14ac:dyDescent="0.3">
      <c r="A9" t="s">
        <v>215</v>
      </c>
    </row>
    <row r="11" spans="1:9" x14ac:dyDescent="0.3">
      <c r="A11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Розрахунки</vt:lpstr>
      <vt:lpstr>Розрахунок оптимальної подачі</vt:lpstr>
      <vt:lpstr>Результати</vt:lpstr>
      <vt:lpstr>Геометричні параметри</vt:lpstr>
      <vt:lpstr>Значення коефіцієнта Cv</vt:lpstr>
      <vt:lpstr>Значення коефіцієнта Ср </vt:lpstr>
      <vt:lpstr>Значення коефіцієнта Сн</vt:lpstr>
      <vt:lpstr>Паспортні дані верстатів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2023-04-23T19:03:38Z</dcterms:modified>
</cp:coreProperties>
</file>